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icio" sheetId="1" state="visible" r:id="rId1"/>
    <sheet name="Diario" sheetId="2" state="visible" r:id="rId2"/>
    <sheet name="Panel" sheetId="3" state="visible" r:id="rId3"/>
    <sheet name="Calendario" sheetId="4" state="visible" r:id="rId4"/>
    <sheet name="Prop challenge" sheetId="5" state="visible" r:id="rId5"/>
    <sheet name="Listas" sheetId="6" state="visible" r:id="rId6"/>
  </sheets>
  <definedNames>
    <definedName name="_xlnm._FilterDatabase" localSheetId="1" hidden="1">'Diario'!$A$4:$AB$504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#,##0.00;-#,##0.00;&quot;–&quot;"/>
    <numFmt numFmtId="165" formatCode="0.000000"/>
    <numFmt numFmtId="166" formatCode="0.#####"/>
    <numFmt numFmtId="167" formatCode="0.00&quot;R&quot;;-0.00&quot;R&quot;;&quot;0R&quot;"/>
    <numFmt numFmtId="168" formatCode="0.0%;-0.0%;&quot;–&quot;"/>
    <numFmt numFmtId="169" formatCode="0.00;-0.00;&quot;–&quot;"/>
    <numFmt numFmtId="170" formatCode="mmm yyyy"/>
    <numFmt numFmtId="171" formatCode="mmmm yyyy"/>
    <numFmt numFmtId="172" formatCode="d"/>
    <numFmt numFmtId="173" formatCode="#,##0;-#,##0;&quot;–&quot;"/>
    <numFmt numFmtId="174" formatCode="0 &quot;ops.&quot;;;&quot;&quot;"/>
    <numFmt numFmtId="175" formatCode="yyyy-mm-dd"/>
  </numFmts>
  <fonts count="21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A1A1AA"/>
      <sz val="10"/>
    </font>
    <font>
      <name val="Arial"/>
      <b val="1"/>
      <color rgb="00A1A1AA"/>
      <sz val="9"/>
    </font>
    <font>
      <name val="Arial"/>
      <color rgb="00FFFFFF"/>
      <sz val="10"/>
    </font>
    <font>
      <name val="Arial"/>
      <i val="1"/>
      <color rgb="0071717A"/>
      <sz val="10"/>
    </font>
    <font>
      <name val="Arial"/>
      <i val="1"/>
      <color rgb="0071717A"/>
      <sz val="9"/>
    </font>
    <font>
      <name val="Arial"/>
      <b val="1"/>
      <color rgb="00FFFFFF"/>
      <sz val="10"/>
    </font>
    <font>
      <name val="Arial"/>
      <color rgb="00A1A1AA"/>
      <sz val="10"/>
      <u val="single"/>
    </font>
    <font>
      <name val="Arial"/>
      <color rgb="0071717A"/>
      <sz val="8"/>
    </font>
    <font>
      <name val="Arial"/>
      <i val="1"/>
      <color rgb="0071717A"/>
      <sz val="8"/>
    </font>
    <font>
      <name val="Arial"/>
      <color rgb="00A1A1AA"/>
      <sz val="9"/>
    </font>
    <font>
      <name val="Arial"/>
      <b val="1"/>
      <color rgb="00FFFFFF"/>
      <sz val="16"/>
    </font>
    <font>
      <name val="Arial"/>
      <b val="1"/>
      <color rgb="00FFFFFF"/>
      <sz val="12"/>
    </font>
    <font>
      <name val="Arial"/>
      <color rgb="0071717A"/>
      <sz val="9"/>
    </font>
    <font>
      <name val="Arial"/>
      <b val="1"/>
      <color rgb="00FFFFFF"/>
      <sz val="11"/>
    </font>
    <font>
      <name val="Arial"/>
      <color rgb="00FFFFFF"/>
      <sz val="11"/>
    </font>
    <font>
      <name val="Arial"/>
      <b val="1"/>
      <color rgb="00FFFFFF"/>
      <sz val="22"/>
    </font>
    <font>
      <name val="Arial"/>
      <color rgb="00A1A1AA"/>
      <sz val="11"/>
    </font>
    <font>
      <name val="Arial"/>
      <color rgb="000E0F12"/>
      <sz val="10"/>
    </font>
    <font>
      <name val="Arial"/>
      <b val="1"/>
      <color rgb="00FFFFFF"/>
      <sz val="10"/>
      <u val="single"/>
    </font>
  </fonts>
  <fills count="5">
    <fill>
      <patternFill/>
    </fill>
    <fill>
      <patternFill patternType="gray125"/>
    </fill>
    <fill>
      <patternFill patternType="solid">
        <fgColor rgb="000E0F12"/>
        <bgColor rgb="000E0F12"/>
      </patternFill>
    </fill>
    <fill>
      <patternFill patternType="solid">
        <fgColor rgb="001D2028"/>
        <bgColor rgb="001D2028"/>
      </patternFill>
    </fill>
    <fill>
      <patternFill patternType="solid">
        <fgColor rgb="0013151A"/>
        <bgColor rgb="0013151A"/>
      </patternFill>
    </fill>
  </fills>
  <borders count="8">
    <border>
      <left/>
      <right/>
      <top/>
      <bottom/>
      <diagonal/>
    </border>
    <border>
      <bottom style="thin">
        <color rgb="0022252B"/>
      </bottom>
    </border>
    <border>
      <bottom style="thin">
        <color rgb="003F444D"/>
      </bottom>
    </border>
    <border>
      <right style="thin">
        <color rgb="000E0F12"/>
      </right>
      <bottom style="thin">
        <color rgb="000E0F12"/>
      </bottom>
    </border>
    <border>
      <left style="thin">
        <color rgb="000E0F12"/>
      </left>
      <right style="thin">
        <color rgb="000E0F12"/>
      </right>
      <top style="thin">
        <color rgb="000E0F12"/>
      </top>
    </border>
    <border>
      <left style="thin">
        <color rgb="000E0F12"/>
      </left>
      <right style="thin">
        <color rgb="000E0F12"/>
      </right>
    </border>
    <border>
      <left style="thin">
        <color rgb="000E0F12"/>
      </left>
      <right style="thin">
        <color rgb="000E0F12"/>
      </right>
      <bottom style="thin">
        <color rgb="000E0F12"/>
      </bottom>
    </border>
    <border>
      <left style="thin">
        <color rgb="0022252B"/>
      </left>
      <right style="thin">
        <color rgb="0022252B"/>
      </right>
      <top style="thin">
        <color rgb="0022252B"/>
      </top>
      <bottom style="thin">
        <color rgb="0022252B"/>
      </bottom>
    </border>
  </borders>
  <cellStyleXfs count="1">
    <xf numFmtId="0" fontId="0" fillId="0" borderId="0"/>
  </cellStyleXfs>
  <cellXfs count="80">
    <xf numFmtId="0" fontId="0" fillId="0" borderId="0" pivotButton="0" quotePrefix="0" xfId="0"/>
    <xf numFmtId="0" fontId="0" fillId="2" borderId="0" pivotButton="0" quotePrefix="0" xfId="0"/>
    <xf numFmtId="0" fontId="17" fillId="2" borderId="0" pivotButton="0" quotePrefix="0" xfId="0"/>
    <xf numFmtId="0" fontId="18" fillId="2" borderId="0" pivotButton="0" quotePrefix="0" xfId="0"/>
    <xf numFmtId="0" fontId="13" fillId="2" borderId="0" pivotButton="0" quotePrefix="0" xfId="0"/>
    <xf numFmtId="0" fontId="2" fillId="2" borderId="1" pivotButton="0" quotePrefix="0" xfId="0"/>
    <xf numFmtId="0" fontId="4" fillId="3" borderId="0" pivotButton="0" quotePrefix="0" xfId="0"/>
    <xf numFmtId="0" fontId="5" fillId="2" borderId="0" pivotButton="0" quotePrefix="0" xfId="0"/>
    <xf numFmtId="0" fontId="19" fillId="2" borderId="0" pivotButton="0" quotePrefix="0" xfId="0"/>
    <xf numFmtId="0" fontId="15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left" vertical="top" wrapText="1"/>
    </xf>
    <xf numFmtId="0" fontId="14" fillId="2" borderId="0" pivotButton="0" quotePrefix="0" xfId="0"/>
    <xf numFmtId="0" fontId="2" fillId="2" borderId="7" pivotButton="0" quotePrefix="0" xfId="0"/>
    <xf numFmtId="0" fontId="20" fillId="2" borderId="0" pivotButton="0" quotePrefix="0" xfId="0"/>
    <xf numFmtId="0" fontId="1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9" fillId="2" borderId="0" pivotButton="0" quotePrefix="0" xfId="0"/>
    <xf numFmtId="0" fontId="9" fillId="0" borderId="0" pivotButton="0" quotePrefix="0" xfId="0"/>
    <xf numFmtId="0" fontId="2" fillId="2" borderId="3" pivotButton="0" quotePrefix="0" xfId="0"/>
    <xf numFmtId="14" fontId="4" fillId="3" borderId="3" pivotButton="0" quotePrefix="0" xfId="0"/>
    <xf numFmtId="20" fontId="4" fillId="3" borderId="3" pivotButton="0" quotePrefix="0" xfId="0"/>
    <xf numFmtId="0" fontId="4" fillId="3" borderId="3" pivotButton="0" quotePrefix="0" xfId="0"/>
    <xf numFmtId="2" fontId="4" fillId="3" borderId="3" pivotButton="0" quotePrefix="0" xfId="0"/>
    <xf numFmtId="166" fontId="4" fillId="3" borderId="3" pivotButton="0" quotePrefix="0" xfId="0"/>
    <xf numFmtId="164" fontId="4" fillId="3" borderId="3" pivotButton="0" quotePrefix="0" xfId="0"/>
    <xf numFmtId="164" fontId="2" fillId="2" borderId="3" pivotButton="0" quotePrefix="0" xfId="0"/>
    <xf numFmtId="164" fontId="7" fillId="2" borderId="3" pivotButton="0" quotePrefix="0" xfId="0"/>
    <xf numFmtId="167" fontId="2" fillId="2" borderId="3" pivotButton="0" quotePrefix="0" xfId="0"/>
    <xf numFmtId="0" fontId="8" fillId="3" borderId="3" pivotButton="0" quotePrefix="0" xfId="0"/>
    <xf numFmtId="14" fontId="0" fillId="0" borderId="0" pivotButton="0" quotePrefix="0" xfId="0"/>
    <xf numFmtId="0" fontId="11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4" fillId="3" borderId="0" applyAlignment="1" pivotButton="0" quotePrefix="0" xfId="0">
      <alignment horizontal="left" vertical="center"/>
    </xf>
    <xf numFmtId="14" fontId="4" fillId="3" borderId="0" pivotButton="0" quotePrefix="0" xfId="0"/>
    <xf numFmtId="0" fontId="11" fillId="4" borderId="0" applyAlignment="1" pivotButton="0" quotePrefix="0" xfId="0">
      <alignment horizontal="left" vertical="bottom" indent="1"/>
    </xf>
    <xf numFmtId="164" fontId="12" fillId="4" borderId="0" applyAlignment="1" pivotButton="0" quotePrefix="0" xfId="0">
      <alignment horizontal="left" vertical="center" indent="1"/>
    </xf>
    <xf numFmtId="168" fontId="12" fillId="4" borderId="0" applyAlignment="1" pivotButton="0" quotePrefix="0" xfId="0">
      <alignment horizontal="left" vertical="center" indent="1"/>
    </xf>
    <xf numFmtId="169" fontId="12" fillId="4" borderId="0" applyAlignment="1" pivotButton="0" quotePrefix="0" xfId="0">
      <alignment horizontal="left" vertical="center" indent="1"/>
    </xf>
    <xf numFmtId="0" fontId="9" fillId="4" borderId="0" applyAlignment="1" pivotButton="0" quotePrefix="0" xfId="0">
      <alignment horizontal="left" vertical="top" indent="1"/>
    </xf>
    <xf numFmtId="167" fontId="12" fillId="4" borderId="0" applyAlignment="1" pivotButton="0" quotePrefix="0" xfId="0">
      <alignment horizontal="left" vertical="center" indent="1"/>
    </xf>
    <xf numFmtId="1" fontId="12" fillId="4" borderId="0" applyAlignment="1" pivotButton="0" quotePrefix="0" xfId="0">
      <alignment horizontal="left" vertical="center" indent="1"/>
    </xf>
    <xf numFmtId="0" fontId="3" fillId="2" borderId="2" pivotButton="0" quotePrefix="0" xfId="0"/>
    <xf numFmtId="170" fontId="2" fillId="2" borderId="1" pivotButton="0" quotePrefix="0" xfId="0"/>
    <xf numFmtId="1" fontId="4" fillId="2" borderId="1" pivotButton="0" quotePrefix="0" xfId="0"/>
    <xf numFmtId="168" fontId="4" fillId="2" borderId="1" pivotButton="0" quotePrefix="0" xfId="0"/>
    <xf numFmtId="164" fontId="4" fillId="2" borderId="1" pivotButton="0" quotePrefix="0" xfId="0"/>
    <xf numFmtId="169" fontId="4" fillId="2" borderId="1" pivotButton="0" quotePrefix="0" xfId="0"/>
    <xf numFmtId="167" fontId="4" fillId="2" borderId="1" pivotButton="0" quotePrefix="0" xfId="0"/>
    <xf numFmtId="171" fontId="15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72" fontId="11" fillId="4" borderId="4" applyAlignment="1" pivotButton="0" quotePrefix="0" xfId="0">
      <alignment horizontal="left" vertical="top" indent="1"/>
    </xf>
    <xf numFmtId="164" fontId="7" fillId="2" borderId="1" applyAlignment="1" pivotButton="0" quotePrefix="0" xfId="0">
      <alignment horizontal="right" vertical="center"/>
    </xf>
    <xf numFmtId="173" fontId="15" fillId="4" borderId="5" applyAlignment="1" pivotButton="0" quotePrefix="0" xfId="0">
      <alignment horizontal="center" vertical="center"/>
    </xf>
    <xf numFmtId="173" fontId="15" fillId="2" borderId="0" applyAlignment="1" pivotButton="0" quotePrefix="0" xfId="0">
      <alignment horizontal="center" vertical="center"/>
    </xf>
    <xf numFmtId="1" fontId="7" fillId="2" borderId="1" applyAlignment="1" pivotButton="0" quotePrefix="0" xfId="0">
      <alignment horizontal="right" vertical="center"/>
    </xf>
    <xf numFmtId="174" fontId="9" fillId="4" borderId="6" applyAlignment="1" pivotButton="0" quotePrefix="0" xfId="0">
      <alignment horizontal="center" vertical="center"/>
    </xf>
    <xf numFmtId="174" fontId="9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right" vertical="center"/>
    </xf>
    <xf numFmtId="164" fontId="15" fillId="2" borderId="1" applyAlignment="1" pivotButton="0" quotePrefix="0" xfId="0">
      <alignment horizontal="right" vertical="center"/>
    </xf>
    <xf numFmtId="173" fontId="4" fillId="3" borderId="0" applyAlignment="1" pivotButton="0" quotePrefix="0" xfId="0">
      <alignment horizontal="right" vertical="center"/>
    </xf>
    <xf numFmtId="168" fontId="15" fillId="2" borderId="1" applyAlignment="1" pivotButton="0" quotePrefix="0" xfId="0">
      <alignment horizontal="right" vertical="center"/>
    </xf>
    <xf numFmtId="14" fontId="4" fillId="3" borderId="0" applyAlignment="1" pivotButton="0" quotePrefix="0" xfId="0">
      <alignment horizontal="right" vertical="center"/>
    </xf>
    <xf numFmtId="1" fontId="15" fillId="2" borderId="1" applyAlignment="1" pivotButton="0" quotePrefix="0" xfId="0">
      <alignment horizontal="right" vertical="center"/>
    </xf>
    <xf numFmtId="168" fontId="4" fillId="3" borderId="0" applyAlignment="1" pivotButton="0" quotePrefix="0" xfId="0">
      <alignment horizontal="right" vertical="center"/>
    </xf>
    <xf numFmtId="1" fontId="4" fillId="3" borderId="0" applyAlignment="1" pivotButton="0" quotePrefix="0" xfId="0">
      <alignment horizontal="right" vertical="center"/>
    </xf>
    <xf numFmtId="0" fontId="15" fillId="2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top" wrapText="1"/>
    </xf>
    <xf numFmtId="0" fontId="11" fillId="2" borderId="0" pivotButton="0" quotePrefix="0" xfId="0"/>
    <xf numFmtId="0" fontId="16" fillId="2" borderId="0" pivotButton="0" quotePrefix="0" xfId="0"/>
    <xf numFmtId="1" fontId="2" fillId="2" borderId="1" pivotButton="0" quotePrefix="0" xfId="0"/>
    <xf numFmtId="14" fontId="2" fillId="2" borderId="1" pivotButton="0" quotePrefix="0" xfId="0"/>
    <xf numFmtId="0" fontId="4" fillId="2" borderId="1" pivotButton="0" quotePrefix="0" xfId="0"/>
    <xf numFmtId="0" fontId="3" fillId="2" borderId="1" pivotButton="0" quotePrefix="0" xfId="0"/>
    <xf numFmtId="3" fontId="4" fillId="3" borderId="0" pivotButton="0" quotePrefix="0" xfId="0"/>
    <xf numFmtId="165" fontId="4" fillId="3" borderId="0" pivotButton="0" quotePrefix="0" xfId="0"/>
    <xf numFmtId="166" fontId="4" fillId="3" borderId="0" pivotButton="0" quotePrefix="0" xfId="0"/>
    <xf numFmtId="164" fontId="4" fillId="3" borderId="0" pivotButton="0" quotePrefix="0" xfId="0"/>
    <xf numFmtId="0" fontId="6" fillId="2" borderId="0" pivotButton="0" quotePrefix="0" xfId="0"/>
  </cellXfs>
  <cellStyles count="1">
    <cellStyle name="Normal" xfId="0" builtinId="0" hidden="0"/>
  </cellStyles>
  <dxfs count="7">
    <dxf>
      <font>
        <color rgb="0010B981"/>
      </font>
    </dxf>
    <dxf>
      <font>
        <color rgb="00EF4444"/>
      </font>
    </dxf>
    <dxf>
      <fill>
        <patternFill patternType="solid">
          <fgColor rgb="000F2A20"/>
          <bgColor rgb="000F2A20"/>
        </patternFill>
      </fill>
    </dxf>
    <dxf>
      <fill>
        <patternFill patternType="solid">
          <fgColor rgb="002E1416"/>
          <bgColor rgb="002E1416"/>
        </patternFill>
      </fill>
    </dxf>
    <dxf>
      <font>
        <color rgb="003F444D"/>
      </font>
    </dxf>
    <dxf>
      <font>
        <b val="1"/>
        <color rgb="0010B981"/>
      </font>
    </dxf>
    <dxf>
      <font>
        <b val="1"/>
        <color rgb="00EF444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plotArea>
      <lineChart>
        <grouping val="standard"/>
        <ser>
          <idx val="0"/>
          <order val="0"/>
          <spPr>
            <a:ln w="19050">
              <a:solidFill>
                <a:srgbClr val="FFFFF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'Panel'!$AE$5:$AE$505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0"/>
        <lblOffset val="100"/>
        <tickLblSkip val="50"/>
      </catAx>
      <valAx>
        <axId val="100"/>
        <scaling>
          <orientation val="minMax"/>
        </scaling>
        <delete val="0"/>
        <axPos val="l"/>
        <majorGridlines>
          <spPr>
            <a:ln>
              <a:solidFill>
                <a:srgbClr val="22252B"/>
              </a:solidFill>
              <a:prstDash val="solid"/>
            </a:ln>
          </spPr>
        </majorGridlines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"/>
      </valAx>
      <spPr>
        <a:solidFill>
          <a:srgbClr val="13151A"/>
        </a:solidFill>
        <a:ln>
          <a:noFill/>
          <a:prstDash val="solid"/>
        </a:ln>
      </spPr>
    </plotArea>
    <plotVisOnly val="1"/>
    <dispBlanksAs val="gap"/>
  </chart>
  <spPr>
    <a:solidFill>
      <a:srgbClr val="13151A"/>
    </a:solidFill>
    <a:ln>
      <a:solidFill>
        <a:srgbClr val="22252B"/>
      </a:solidFill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plotArea>
      <barChart>
        <barDir val="col"/>
        <grouping val="clustered"/>
        <ser>
          <idx val="0"/>
          <order val="0"/>
          <spPr>
            <a:solidFill>
              <a:srgbClr val="A1A1AA"/>
            </a:solidFill>
            <a:ln>
              <a:prstDash val="solid"/>
            </a:ln>
          </spPr>
          <invertIfNegative val="0"/>
          <cat>
            <numRef>
              <f>'Panel'!$B$46:$B$57</f>
            </numRef>
          </cat>
          <val>
            <numRef>
              <f>'Panel'!$F$46:$F$57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>
              <a:solidFill>
                <a:srgbClr val="22252B"/>
              </a:solidFill>
              <a:prstDash val="solid"/>
            </a:ln>
          </spPr>
        </majorGridlines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"/>
      </valAx>
      <spPr>
        <a:solidFill>
          <a:srgbClr val="13151A"/>
        </a:solidFill>
        <a:ln>
          <a:noFill/>
          <a:prstDash val="solid"/>
        </a:ln>
      </spPr>
    </plotArea>
    <plotVisOnly val="1"/>
    <dispBlanksAs val="gap"/>
  </chart>
  <spPr>
    <a:solidFill>
      <a:srgbClr val="13151A"/>
    </a:solidFill>
    <a:ln>
      <a:solidFill>
        <a:srgbClr val="22252B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26</row>
      <rowOff>0</rowOff>
    </from>
    <ext cx="93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9</col>
      <colOff>0</colOff>
      <row>43</row>
      <rowOff>0</rowOff>
    </from>
    <ext cx="39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psapp.com/es?utm_source=journal-template&amp;utm_medium=xlsx&amp;utm_campaign=template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FFFFFF"/>
    <outlinePr summaryBelow="1" summaryRight="1"/>
    <pageSetUpPr/>
  </sheetPr>
  <dimension ref="A1:L6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4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6" customHeight="1">
      <c r="A2" s="1" t="n"/>
      <c r="B2" s="2" t="inlineStr">
        <is>
          <t>Diario de trading Fips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" t="n"/>
      <c r="B3" s="3" t="inlineStr">
        <is>
          <t>Plantilla gratis para Excel y Google Sheets. Anota tus operaciones; el panel, el calendario y la hoja de prop challenge se actualizan solos.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</row>
    <row r="5">
      <c r="A5" s="1" t="n"/>
      <c r="B5" s="4" t="inlineStr">
        <is>
          <t>Ajustes</t>
        </is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</row>
    <row r="6">
      <c r="A6" s="1" t="n"/>
      <c r="B6" s="1" t="n"/>
      <c r="C6" s="5" t="inlineStr">
        <is>
          <t>Divisa de la cuenta</t>
        </is>
      </c>
      <c r="D6" s="6" t="inlineStr">
        <is>
          <t>USD</t>
        </is>
      </c>
      <c r="E6" s="1" t="n"/>
      <c r="F6" s="1" t="n"/>
      <c r="G6" s="1" t="n"/>
      <c r="H6" s="1" t="n"/>
      <c r="I6" s="1" t="n"/>
      <c r="J6" s="1" t="n"/>
      <c r="K6" s="1" t="n"/>
      <c r="L6" s="1" t="n"/>
    </row>
    <row r="7">
      <c r="A7" s="1" t="n"/>
      <c r="B7" s="1" t="n"/>
      <c r="C7" s="5" t="inlineStr">
        <is>
          <t>Saldos iniciales</t>
        </is>
      </c>
      <c r="D7" s="7" t="inlineStr">
        <is>
          <t>Hoja Listas, columna Cuentas</t>
        </is>
      </c>
      <c r="E7" s="1" t="n"/>
      <c r="F7" s="1" t="n"/>
      <c r="G7" s="1" t="n"/>
      <c r="H7" s="1" t="n"/>
      <c r="I7" s="1" t="n"/>
      <c r="J7" s="1" t="n"/>
      <c r="K7" s="1" t="n"/>
      <c r="L7" s="1" t="n"/>
    </row>
    <row r="8">
      <c r="A8" s="1" t="n"/>
      <c r="B8" s="1" t="n"/>
      <c r="C8" s="5" t="inlineStr">
        <is>
          <t>Operaciones de ejemplo</t>
        </is>
      </c>
      <c r="D8" s="7" t="inlineStr">
        <is>
          <t>30 operaciones de ejemplo en las filas 5–34 del Diario. Borra las celdas claras de entrada para empezar de cero.</t>
        </is>
      </c>
      <c r="E8" s="1" t="n"/>
      <c r="F8" s="1" t="n"/>
      <c r="G8" s="1" t="n"/>
      <c r="H8" s="1" t="n"/>
      <c r="I8" s="1" t="n"/>
      <c r="J8" s="1" t="n"/>
      <c r="K8" s="1" t="n"/>
      <c r="L8" s="1" t="n"/>
    </row>
    <row r="9">
      <c r="A9" s="1" t="n"/>
      <c r="B9" s="1" t="n"/>
      <c r="C9" s="1" t="n"/>
      <c r="D9" s="8" t="str">
        <f>D6</f>
        <v>USD</v>
      </c>
      <c r="E9" s="1" t="n"/>
      <c r="F9" s="1" t="n"/>
      <c r="G9" s="1" t="n"/>
      <c r="H9" s="1" t="n"/>
      <c r="I9" s="1" t="n"/>
      <c r="J9" s="1" t="n"/>
      <c r="K9" s="1" t="n"/>
      <c r="L9" s="1" t="n"/>
    </row>
    <row r="10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</row>
    <row r="11">
      <c r="A11" s="1" t="n"/>
      <c r="B11" s="4" t="inlineStr">
        <is>
          <t>Cómo usarla</t>
        </is>
      </c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</row>
    <row r="12" ht="30" customHeight="1">
      <c r="A12" s="1" t="n"/>
      <c r="B12" s="9" t="inlineStr">
        <is>
          <t>1</t>
        </is>
      </c>
      <c r="C12" s="10" t="inlineStr">
        <is>
          <t>Hoja Listas: escribe los nombres de tus cuentas y sus saldos iniciales, y revisa la tabla de símbolos (tamaño de contrato y el tipo que pasa la divisa de cotización a la de tu cuenta).</t>
        </is>
      </c>
      <c r="F12" s="1" t="n"/>
      <c r="G12" s="1" t="n"/>
      <c r="H12" s="1" t="n"/>
      <c r="I12" s="1" t="n"/>
      <c r="J12" s="1" t="n"/>
      <c r="K12" s="1" t="n"/>
      <c r="L12" s="1" t="n"/>
    </row>
    <row r="13" ht="30" customHeight="1">
      <c r="A13" s="1" t="n"/>
      <c r="B13" s="9" t="inlineStr">
        <is>
          <t>2</t>
        </is>
      </c>
      <c r="C13" s="10" t="inlineStr">
        <is>
          <t>Hoja Diario: una fila por operación cerrada, en orden de cierre. Rellena las celdas claras; las columnas grises se calculan solas.</t>
        </is>
      </c>
      <c r="F13" s="1" t="n"/>
      <c r="G13" s="1" t="n"/>
      <c r="H13" s="1" t="n"/>
      <c r="I13" s="1" t="n"/>
      <c r="J13" s="1" t="n"/>
      <c r="K13" s="1" t="n"/>
      <c r="L13" s="1" t="n"/>
    </row>
    <row r="14" ht="30" customHeight="1">
      <c r="A14" s="1" t="n"/>
      <c r="B14" s="9" t="inlineStr">
        <is>
          <t>3</t>
        </is>
      </c>
      <c r="C14" s="10" t="inlineStr">
        <is>
          <t>Elige cuenta, símbolo, dirección, setup, sesión, error y emoción en los desplegables. Puedes añadir tus propias opciones en la hoja Listas.</t>
        </is>
      </c>
      <c r="F14" s="1" t="n"/>
      <c r="G14" s="1" t="n"/>
      <c r="H14" s="1" t="n"/>
      <c r="I14" s="1" t="n"/>
      <c r="J14" s="1" t="n"/>
      <c r="K14" s="1" t="n"/>
      <c r="L14" s="1" t="n"/>
    </row>
    <row r="15" ht="30" customHeight="1">
      <c r="A15" s="1" t="n"/>
      <c r="B15" s="9" t="inlineStr">
        <is>
          <t>4</t>
        </is>
      </c>
      <c r="C15" s="10" t="inlineStr">
        <is>
          <t>Si tu bróker muestra otro P&amp;L (en índices y CFD el tamaño de contrato suele variar), escríbelo en P&amp;L del bróker; sustituye al calculado.</t>
        </is>
      </c>
      <c r="F15" s="1" t="n"/>
      <c r="G15" s="1" t="n"/>
      <c r="H15" s="1" t="n"/>
      <c r="I15" s="1" t="n"/>
      <c r="J15" s="1" t="n"/>
      <c r="K15" s="1" t="n"/>
      <c r="L15" s="1" t="n"/>
    </row>
    <row r="16" ht="30" customHeight="1">
      <c r="A16" s="1" t="n"/>
      <c r="B16" s="9" t="inlineStr">
        <is>
          <t>5</t>
        </is>
      </c>
      <c r="C16" s="10" t="inlineStr">
        <is>
          <t>Panel, Calendario y Prop challenge leen el Diario. Filtra el panel por cuenta y fechas; pon las reglas de tu challenge en la hoja Prop challenge.</t>
        </is>
      </c>
      <c r="F16" s="1" t="n"/>
      <c r="G16" s="1" t="n"/>
      <c r="H16" s="1" t="n"/>
      <c r="I16" s="1" t="n"/>
      <c r="J16" s="1" t="n"/>
      <c r="K16" s="1" t="n"/>
      <c r="L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</row>
    <row r="18">
      <c r="A18" s="1" t="n"/>
      <c r="B18" s="4" t="inlineStr">
        <is>
          <t>Colores de las celdas</t>
        </is>
      </c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</row>
    <row r="19">
      <c r="A19" s="1" t="n"/>
      <c r="B19" s="1" t="n"/>
      <c r="C19" s="6" t="inlineStr">
        <is>
          <t>Entrada</t>
        </is>
      </c>
      <c r="D19" s="11" t="inlineStr">
        <is>
          <t>Celdas claras: aquí escribes tú</t>
        </is>
      </c>
      <c r="E19" s="1" t="n"/>
      <c r="F19" s="1" t="n"/>
      <c r="G19" s="1" t="n"/>
      <c r="H19" s="1" t="n"/>
      <c r="I19" s="1" t="n"/>
      <c r="J19" s="1" t="n"/>
      <c r="K19" s="1" t="n"/>
      <c r="L19" s="1" t="n"/>
    </row>
    <row r="20">
      <c r="A20" s="1" t="n"/>
      <c r="B20" s="1" t="n"/>
      <c r="C20" s="12" t="inlineStr">
        <is>
          <t>Fórmula</t>
        </is>
      </c>
      <c r="D20" s="11" t="inlineStr">
        <is>
          <t>Texto gris: calculado, no lo sobrescribas</t>
        </is>
      </c>
      <c r="E20" s="1" t="n"/>
      <c r="F20" s="1" t="n"/>
      <c r="G20" s="1" t="n"/>
      <c r="H20" s="1" t="n"/>
      <c r="I20" s="1" t="n"/>
      <c r="J20" s="1" t="n"/>
      <c r="K20" s="1" t="n"/>
      <c r="L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</row>
    <row r="22">
      <c r="A22" s="1" t="n"/>
      <c r="B22" s="4" t="inlineStr">
        <is>
          <t>Qué suponen las fórmulas</t>
        </is>
      </c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</row>
    <row r="23" ht="30" customHeight="1">
      <c r="A23" s="1" t="n"/>
      <c r="B23" s="1" t="n"/>
      <c r="C23" s="10" t="inlineStr">
        <is>
          <t>· P&amp;L = (salida − entrada) × dirección × lotes × tamaño de contrato × tipo de cambio, menos comisión, más swap.</t>
        </is>
      </c>
      <c r="F23" s="1" t="n"/>
      <c r="G23" s="1" t="n"/>
      <c r="H23" s="1" t="n"/>
      <c r="I23" s="1" t="n"/>
      <c r="J23" s="1" t="n"/>
      <c r="K23" s="1" t="n"/>
      <c r="L23" s="1" t="n"/>
    </row>
    <row r="24" ht="30" customHeight="1">
      <c r="A24" s="1" t="n"/>
      <c r="B24" s="1" t="n"/>
      <c r="C24" s="10" t="inlineStr">
        <is>
          <t>· La comisión se escribe como coste positivo; el swap con su signo, como lo muestra el bróker.</t>
        </is>
      </c>
      <c r="F24" s="1" t="n"/>
      <c r="G24" s="1" t="n"/>
      <c r="H24" s="1" t="n"/>
      <c r="I24" s="1" t="n"/>
      <c r="J24" s="1" t="n"/>
      <c r="K24" s="1" t="n"/>
      <c r="L24" s="1" t="n"/>
    </row>
    <row r="25" ht="30" customHeight="1">
      <c r="A25" s="1" t="n"/>
      <c r="B25" s="1" t="n"/>
      <c r="C25" s="10" t="inlineStr">
        <is>
          <t>· El riesgo es la distancia al stop loss en dinero; múltiplo R = P&amp;L neto ÷ riesgo.</t>
        </is>
      </c>
      <c r="F25" s="1" t="n"/>
      <c r="G25" s="1" t="n"/>
      <c r="H25" s="1" t="n"/>
      <c r="I25" s="1" t="n"/>
      <c r="J25" s="1" t="n"/>
      <c r="K25" s="1" t="n"/>
      <c r="L25" s="1" t="n"/>
    </row>
    <row r="26" ht="30" customHeight="1">
      <c r="A26" s="1" t="n"/>
      <c r="B26" s="1" t="n"/>
      <c r="C26" s="10" t="inlineStr">
        <is>
          <t>· El porcentaje de acierto compara ganadoras con perdedoras; las de breakeven no cuentan. Profit factor = beneficio bruto ÷ pérdida bruta.</t>
        </is>
      </c>
      <c r="F26" s="1" t="n"/>
      <c r="G26" s="1" t="n"/>
      <c r="H26" s="1" t="n"/>
      <c r="I26" s="1" t="n"/>
      <c r="J26" s="1" t="n"/>
      <c r="K26" s="1" t="n"/>
      <c r="L26" s="1" t="n"/>
    </row>
    <row r="27" ht="30" customHeight="1">
      <c r="A27" s="1" t="n"/>
      <c r="B27" s="1" t="n"/>
      <c r="C27" s="10" t="inlineStr">
        <is>
          <t>· El drawdown se mide sobre operaciones cerradas desde el máximo del saldo.</t>
        </is>
      </c>
      <c r="F27" s="1" t="n"/>
      <c r="G27" s="1" t="n"/>
      <c r="H27" s="1" t="n"/>
      <c r="I27" s="1" t="n"/>
      <c r="J27" s="1" t="n"/>
      <c r="K27" s="1" t="n"/>
      <c r="L27" s="1" t="n"/>
    </row>
    <row r="28" ht="30" customHeight="1">
      <c r="A28" s="1" t="n"/>
      <c r="B28" s="1" t="n"/>
      <c r="C28" s="10" t="inlineStr">
        <is>
          <t>· Las cifras de prop usan P&amp;L cerrado. Las empresas de fondeo que miden equity cuentan también las posiciones abiertas; deja margen.</t>
        </is>
      </c>
      <c r="F28" s="1" t="n"/>
      <c r="G28" s="1" t="n"/>
      <c r="H28" s="1" t="n"/>
      <c r="I28" s="1" t="n"/>
      <c r="J28" s="1" t="n"/>
      <c r="K28" s="1" t="n"/>
      <c r="L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</row>
    <row r="30">
      <c r="A30" s="1" t="n"/>
      <c r="B30" s="4" t="inlineStr">
        <is>
          <t>¿Lo quieres sin teclear?</t>
        </is>
      </c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</row>
    <row r="31">
      <c r="A31" s="1" t="n"/>
      <c r="B31" s="1" t="n"/>
      <c r="C31" s="10" t="inlineStr">
        <is>
          <t>Fips importa tus operaciones desde MT4/MT5, cTrader, Interactive Brokers, exchanges de cripto o un archivo CSV y te da el mismo panel, calendario y seguimiento de reglas de fondeo, además de notas, etiquetas y replay. Beta privada: únete a la lista de espera.</t>
        </is>
      </c>
      <c r="F31" s="1" t="n"/>
      <c r="G31" s="1" t="n"/>
      <c r="H31" s="1" t="n"/>
      <c r="I31" s="1" t="n"/>
      <c r="J31" s="1" t="n"/>
      <c r="K31" s="1" t="n"/>
      <c r="L31" s="1" t="n"/>
    </row>
    <row r="32">
      <c r="A32" s="1" t="n"/>
      <c r="B32" s="1" t="n"/>
      <c r="F32" s="1" t="n"/>
      <c r="G32" s="1" t="n"/>
      <c r="H32" s="1" t="n"/>
      <c r="I32" s="1" t="n"/>
      <c r="J32" s="1" t="n"/>
      <c r="K32" s="1" t="n"/>
      <c r="L32" s="1" t="n"/>
    </row>
    <row r="33">
      <c r="A33" s="1" t="n"/>
      <c r="B33" s="1" t="n"/>
      <c r="C33" s="13" t="inlineStr">
        <is>
          <t>fipsapp.com/es</t>
        </is>
      </c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</row>
    <row r="35">
      <c r="A35" s="1" t="n"/>
      <c r="B35" s="1" t="n"/>
      <c r="C35" s="14" t="inlineStr">
        <is>
          <t>Gratis para usar y modificar en tu propio trading. No es asesoramiento financiero. © Fips, T2MA Labs LLC.</t>
        </is>
      </c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</row>
  </sheetData>
  <mergeCells count="12">
    <mergeCell ref="C16:E16"/>
    <mergeCell ref="C31:E32"/>
    <mergeCell ref="C14:E14"/>
    <mergeCell ref="C28:E28"/>
    <mergeCell ref="C27:E27"/>
    <mergeCell ref="C13:E13"/>
    <mergeCell ref="C23:E23"/>
    <mergeCell ref="C15:E15"/>
    <mergeCell ref="C26:E26"/>
    <mergeCell ref="C12:E12"/>
    <mergeCell ref="C25:E25"/>
    <mergeCell ref="C24:E24"/>
  </mergeCells>
  <hyperlinks>
    <hyperlink xmlns:r="http://schemas.openxmlformats.org/officeDocument/2006/relationships" ref="C3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FFFF"/>
    <outlinePr summaryBelow="1" summaryRight="1"/>
    <pageSetUpPr/>
  </sheetPr>
  <dimension ref="A1:AX506"/>
  <sheetViews>
    <sheetView showGridLines="0" zoomScale="100" workbookViewId="0">
      <pane xSplit="7" ySplit="4" topLeftCell="H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8" customWidth="1" min="3" max="3"/>
    <col width="12" customWidth="1" min="4" max="4"/>
    <col width="8" customWidth="1" min="5" max="5"/>
    <col width="15" customWidth="1" min="6" max="6"/>
    <col width="10" customWidth="1" min="7" max="7"/>
    <col width="8" customWidth="1" min="8" max="8"/>
    <col width="7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9" customWidth="1" min="15" max="15"/>
    <col width="12" customWidth="1" min="16" max="16"/>
    <col width="13" customWidth="1" min="17" max="17"/>
    <col width="12" customWidth="1" min="18" max="18"/>
    <col width="11" customWidth="1" min="19" max="19"/>
    <col width="8" customWidth="1" min="20" max="20"/>
    <col width="9" customWidth="1" min="21" max="21"/>
    <col width="15" customWidth="1" min="22" max="22"/>
    <col width="12" customWidth="1" min="23" max="23"/>
    <col width="16" customWidth="1" min="24" max="24"/>
    <col width="12" customWidth="1" min="25" max="25"/>
    <col width="10" customWidth="1" min="26" max="26"/>
    <col width="40" customWidth="1" min="27" max="27"/>
    <col width="22" customWidth="1" min="28" max="28"/>
    <col width="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  <col hidden="1" width="13" customWidth="1" min="41" max="41"/>
    <col hidden="1" width="13" customWidth="1" min="42" max="42"/>
    <col hidden="1" width="13" customWidth="1" min="43" max="43"/>
    <col hidden="1" width="13" customWidth="1" min="44" max="44"/>
    <col hidden="1" width="13" customWidth="1" min="45" max="45"/>
    <col hidden="1" width="13" customWidth="1" min="46" max="46"/>
    <col hidden="1" width="13" customWidth="1" min="47" max="47"/>
    <col hidden="1" width="13" customWidth="1" min="48" max="48"/>
    <col hidden="1" width="13" customWidth="1" min="49" max="49"/>
    <col hidden="1" width="13" customWidth="1" min="50" max="5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</row>
    <row r="2" ht="30" customHeight="1">
      <c r="A2" s="1" t="n"/>
      <c r="B2" s="15" t="inlineStr">
        <is>
          <t>Diario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</row>
    <row r="3">
      <c r="A3" s="1" t="n"/>
      <c r="B3" s="16" t="inlineStr">
        <is>
          <t>Una fila por operación cerrada, la más antigua arriba. Las celdas claras son tuyas; las grises se calculan.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4" t="inlineStr">
        <is>
          <t>Las columnas auxiliares ocultas AD:AX alimentan las demás hojas. Déjalas como están.</t>
        </is>
      </c>
    </row>
    <row r="4" ht="30" customHeight="1">
      <c r="A4" s="17" t="inlineStr">
        <is>
          <t>#</t>
        </is>
      </c>
      <c r="B4" s="17" t="inlineStr">
        <is>
          <t>Fecha apertura</t>
        </is>
      </c>
      <c r="C4" s="17" t="inlineStr">
        <is>
          <t>Hora apertura</t>
        </is>
      </c>
      <c r="D4" s="17" t="inlineStr">
        <is>
          <t>Fecha cierre</t>
        </is>
      </c>
      <c r="E4" s="17" t="inlineStr">
        <is>
          <t>Hora cierre</t>
        </is>
      </c>
      <c r="F4" s="17" t="inlineStr">
        <is>
          <t>Cuenta</t>
        </is>
      </c>
      <c r="G4" s="17" t="inlineStr">
        <is>
          <t>Símbolo</t>
        </is>
      </c>
      <c r="H4" s="17" t="inlineStr">
        <is>
          <t>Dirección</t>
        </is>
      </c>
      <c r="I4" s="17" t="inlineStr">
        <is>
          <t>Lotes</t>
        </is>
      </c>
      <c r="J4" s="17" t="inlineStr">
        <is>
          <t>Entrada</t>
        </is>
      </c>
      <c r="K4" s="17" t="inlineStr">
        <is>
          <t>Salida</t>
        </is>
      </c>
      <c r="L4" s="17" t="inlineStr">
        <is>
          <t>Stop loss</t>
        </is>
      </c>
      <c r="M4" s="17" t="inlineStr">
        <is>
          <t>Take profit</t>
        </is>
      </c>
      <c r="N4" s="17" t="inlineStr">
        <is>
          <t>Comisión</t>
        </is>
      </c>
      <c r="O4" s="17" t="inlineStr">
        <is>
          <t>Swap</t>
        </is>
      </c>
      <c r="P4" s="17" t="inlineStr">
        <is>
          <t>P&amp;L bruto</t>
        </is>
      </c>
      <c r="Q4" s="17" t="inlineStr">
        <is>
          <t>P&amp;L del bróker (opcional)</t>
        </is>
      </c>
      <c r="R4" s="17" t="inlineStr">
        <is>
          <t>P&amp;L neto</t>
        </is>
      </c>
      <c r="S4" s="17" t="inlineStr">
        <is>
          <t>Riesgo al stop</t>
        </is>
      </c>
      <c r="T4" s="17" t="inlineStr">
        <is>
          <t>R</t>
        </is>
      </c>
      <c r="U4" s="17" t="inlineStr">
        <is>
          <t>Resultado</t>
        </is>
      </c>
      <c r="V4" s="17" t="inlineStr">
        <is>
          <t>Setup</t>
        </is>
      </c>
      <c r="W4" s="17" t="inlineStr">
        <is>
          <t>Sesión</t>
        </is>
      </c>
      <c r="X4" s="17" t="inlineStr">
        <is>
          <t>Error</t>
        </is>
      </c>
      <c r="Y4" s="17" t="inlineStr">
        <is>
          <t>Emoción</t>
        </is>
      </c>
      <c r="Z4" s="17" t="inlineStr">
        <is>
          <t>Seguí el plan</t>
        </is>
      </c>
      <c r="AA4" s="17" t="inlineStr">
        <is>
          <t>Notas</t>
        </is>
      </c>
      <c r="AB4" s="17" t="inlineStr">
        <is>
          <t>Enlace a captura</t>
        </is>
      </c>
      <c r="AC4" s="1" t="n"/>
      <c r="AD4" s="18" t="inlineStr">
        <is>
          <t>contract</t>
        </is>
      </c>
      <c r="AE4" s="19" t="inlineStr">
        <is>
          <t>rate</t>
        </is>
      </c>
      <c r="AF4" s="19" t="inlineStr">
        <is>
          <t>dir</t>
        </is>
      </c>
      <c r="AG4" s="19" t="inlineStr">
        <is>
          <t>counted</t>
        </is>
      </c>
      <c r="AH4" s="19" t="inlineStr">
        <is>
          <t>in_account</t>
        </is>
      </c>
      <c r="AI4" s="19" t="inlineStr">
        <is>
          <t>in_filter</t>
        </is>
      </c>
      <c r="AJ4" s="19" t="inlineStr">
        <is>
          <t>net_in</t>
        </is>
      </c>
      <c r="AK4" s="19" t="inlineStr">
        <is>
          <t>equity</t>
        </is>
      </c>
      <c r="AL4" s="19" t="inlineStr">
        <is>
          <t>loss_streak</t>
        </is>
      </c>
      <c r="AM4" s="19" t="inlineStr">
        <is>
          <t>win_streak</t>
        </is>
      </c>
      <c r="AN4" s="19" t="inlineStr">
        <is>
          <t>peak</t>
        </is>
      </c>
      <c r="AO4" s="19" t="inlineStr">
        <is>
          <t>dd</t>
        </is>
      </c>
      <c r="AP4" s="19" t="inlineStr">
        <is>
          <t>dd_pct</t>
        </is>
      </c>
      <c r="AQ4" s="19" t="inlineStr">
        <is>
          <t>seq</t>
        </is>
      </c>
      <c r="AR4" s="19" t="inlineStr">
        <is>
          <t>day_net</t>
        </is>
      </c>
      <c r="AS4" s="19" t="inlineStr">
        <is>
          <t>weekday</t>
        </is>
      </c>
      <c r="AT4" s="19" t="inlineStr">
        <is>
          <t>month</t>
        </is>
      </c>
      <c r="AU4" s="19" t="inlineStr">
        <is>
          <t>in_prop</t>
        </is>
      </c>
      <c r="AV4" s="19" t="inlineStr">
        <is>
          <t>prop_day_first</t>
        </is>
      </c>
      <c r="AW4" s="19" t="inlineStr">
        <is>
          <t>prop_day_seq</t>
        </is>
      </c>
      <c r="AX4" s="19" t="inlineStr">
        <is>
          <t>prop_day_net</t>
        </is>
      </c>
    </row>
    <row r="5">
      <c r="A5" s="20">
        <f>IF(AG5=1,ROW()-4,"")</f>
        <v>1</v>
      </c>
      <c r="B5" s="21" t="n">
        <v>46266</v>
      </c>
      <c r="C5" s="22" t="n">
        <v>0.15625</v>
      </c>
      <c r="D5" s="21" t="n">
        <v>46266</v>
      </c>
      <c r="E5" s="22" t="n">
        <v>0.1527777777777778</v>
      </c>
      <c r="F5" s="23" t="inlineStr">
        <is>
          <t>Personal</t>
        </is>
      </c>
      <c r="G5" s="23" t="inlineStr">
        <is>
          <t>GBPUSD</t>
        </is>
      </c>
      <c r="H5" s="23" t="inlineStr">
        <is>
          <t>Venta</t>
        </is>
      </c>
      <c r="I5" s="24" t="n">
        <v>0.4</v>
      </c>
      <c r="J5" s="25" t="n">
        <v>1.33301</v>
      </c>
      <c r="K5" s="25" t="n">
        <v>1.32801</v>
      </c>
      <c r="L5" s="25" t="n">
        <v>1.33551</v>
      </c>
      <c r="M5" s="25" t="n">
        <v>1.32801</v>
      </c>
      <c r="N5" s="26" t="n">
        <v>2.8</v>
      </c>
      <c r="O5" s="26" t="n">
        <v>0</v>
      </c>
      <c r="P5" s="27">
        <f>IF(OR(J5="",K5="",I5="",AF5=0,AD5=""),"",(K5-J5)*AF5*I5*AD5*AE5)</f>
        <v>200.00000000000463</v>
      </c>
      <c r="Q5" s="26" t="n"/>
      <c r="R5" s="28">
        <f>IF(Q5&lt;&gt;"",Q5,IF(P5="","",P5-N(N5)+N(O5)))</f>
        <v>197.20000000000462</v>
      </c>
      <c r="S5" s="27">
        <f>IF(OR(L5="",J5="",I5="",AD5=""),"",ABS(J5-L5)*I5*AD5*AE5)</f>
        <v>99.99999999999788</v>
      </c>
      <c r="T5" s="29">
        <f>IF(OR(R5="",S5="",S5=0),"",R5/S5)</f>
        <v>1.972000000000088</v>
      </c>
      <c r="U5" s="20" t="str">
        <f>IF(R5="","",IF(R5&gt;0,"Ganadora",IF(R5&lt;0,"Perdedora","BE")))</f>
        <v>Ganadora</v>
      </c>
      <c r="V5" s="23" t="inlineStr">
        <is>
          <t>Ruptura</t>
        </is>
      </c>
      <c r="W5" s="23" t="inlineStr">
        <is>
          <t>Asia</t>
        </is>
      </c>
      <c r="X5" s="23" t="inlineStr">
        <is>
          <t>Ninguno</t>
        </is>
      </c>
      <c r="Y5" s="23" t="inlineStr">
        <is>
          <t>Tranquilo</t>
        </is>
      </c>
      <c r="Z5" s="23" t="inlineStr">
        <is>
          <t>Sí</t>
        </is>
      </c>
      <c r="AA5" s="23" t="inlineStr">
        <is>
          <t>Esperé el retest, entrada limpia.</t>
        </is>
      </c>
      <c r="AB5" s="30" t="n"/>
      <c r="AC5" s="1" t="n"/>
      <c r="AD5" s="1">
        <f>IF(G5="","",IFERROR(INDEX('Listas'!$N$6:$N$35,MATCH(G5,'Listas'!$M$6:$M$35,0)),""))</f>
        <v>100000</v>
      </c>
      <c r="AE5">
        <f>IF(G5="",1,IFERROR(INDEX('Listas'!$P$6:$P$35,MATCH(G5,'Listas'!$M$6:$M$35,0)),1))</f>
        <v>1</v>
      </c>
      <c r="AF5">
        <f>IF(H5="Compra",1,IF(H5="Venta",-1,0))</f>
        <v>-1</v>
      </c>
      <c r="AG5">
        <f>IF(AND(D5&lt;&gt;"",ISNUMBER(R5)),1,0)</f>
        <v>1</v>
      </c>
      <c r="AH5">
        <f>IF(AG5=0,0,IF(OR('Panel'!$D$5="Todas las cuentas",'Panel'!$D$5="",F5='Panel'!$D$5),1,0))</f>
        <v>1</v>
      </c>
      <c r="AI5">
        <f>IF(AH5=0,0,IF(AND(OR('Panel'!$G$5="",D5&gt;='Panel'!$G$5),OR('Panel'!$J$5="",D5&lt;='Panel'!$J$5)),1,0))</f>
        <v>1</v>
      </c>
      <c r="AJ5">
        <f>IF(AI5=1,R5,0)</f>
        <v>197.20000000000462</v>
      </c>
      <c r="AK5">
        <f>IF(AI5=1,'Panel'!$AB$4+SUM($AJ$5:AJ5),"")</f>
        <v>20197.200000000004</v>
      </c>
      <c r="AL5">
        <f>IF(AI5=0,N(AL4),IF(R5&lt;0,N(AL4)+1,0))</f>
        <v>0</v>
      </c>
      <c r="AM5">
        <f>IF(AI5=0,N(AM4),IF(R5&gt;0,N(AM4)+1,0))</f>
        <v>1</v>
      </c>
      <c r="AN5">
        <f>IF(AI5=1,MAX('Panel'!$AB$4,N(AN4),AK5),N(AN4))</f>
        <v>20197.200000000004</v>
      </c>
      <c r="AO5">
        <f>IF(AI5=1,AN5-AK5,0)</f>
        <v>0</v>
      </c>
      <c r="AP5">
        <f>IF(AND(AI5=1,AN5&gt;0),AO5/AN5,0)</f>
        <v>0</v>
      </c>
      <c r="AQ5">
        <f>IF(AI5=1,SUM($AI$5:AI5),"")</f>
        <v>1</v>
      </c>
      <c r="AR5">
        <f>IF(AI5=1,IF(COUNTIFS($D$5:D5,D5,$AI$5:AI5,1)=1,SUMIFS($AJ$5:$AJ$504,$D$5:$D$504,D5),""),"")</f>
        <v>197.20000000000462</v>
      </c>
      <c r="AS5">
        <f>IF(AG5=1,WEEKDAY(D5,2),"")</f>
        <v>2</v>
      </c>
      <c r="AT5" s="31">
        <f>IF(AG5=1,DATE(YEAR(D5),MONTH(D5),1),"")</f>
        <v>46266</v>
      </c>
      <c r="AU5">
        <f>IF(AG5=0,0,IF(AND(OR('Prop challenge'!$D$7="",F5='Prop challenge'!$D$7),OR('Prop challenge'!$D$9="",D5&gt;='Prop challenge'!$D$9)),1,0))</f>
        <v>0</v>
      </c>
      <c r="AV5">
        <f>IF(AU5=1,IF(COUNTIFS($D$5:D5,D5,$AU$5:AU5,1)=1,1,0),0)</f>
        <v>0</v>
      </c>
      <c r="AW5" t="str">
        <f>IF(AV5=1,SUM($AV$5:AV5),"")</f>
        <v/>
      </c>
      <c r="AX5" t="str">
        <f>IF(AV5=1,SUMIFS($R$5:$R$504,$D$5:$D$504,D5,$AU$5:$AU$504,1),"")</f>
        <v/>
      </c>
    </row>
    <row r="6">
      <c r="A6" s="20">
        <f>IF(AG6=1,ROW()-4,"")</f>
        <v>2</v>
      </c>
      <c r="B6" s="21" t="n">
        <v>46268</v>
      </c>
      <c r="C6" s="22" t="n">
        <v>0.3333333333333333</v>
      </c>
      <c r="D6" s="21" t="n">
        <v>46268</v>
      </c>
      <c r="E6" s="22" t="n">
        <v>0.4652777777777778</v>
      </c>
      <c r="F6" s="23" t="inlineStr">
        <is>
          <t>Personal</t>
        </is>
      </c>
      <c r="G6" s="23" t="inlineStr">
        <is>
          <t>EURUSD</t>
        </is>
      </c>
      <c r="H6" s="23" t="inlineStr">
        <is>
          <t>Venta</t>
        </is>
      </c>
      <c r="I6" s="24" t="n">
        <v>0.5</v>
      </c>
      <c r="J6" s="25" t="n">
        <v>1.10868</v>
      </c>
      <c r="K6" s="25" t="n">
        <v>1.11068</v>
      </c>
      <c r="L6" s="25" t="n">
        <v>1.11068</v>
      </c>
      <c r="M6" s="25" t="n">
        <v>1.10468</v>
      </c>
      <c r="N6" s="26" t="n">
        <v>3.5</v>
      </c>
      <c r="O6" s="26" t="n">
        <v>0</v>
      </c>
      <c r="P6" s="27">
        <f>IF(OR(J6="",K6="",I6="",AF6=0,AD6=""),"",(K6-J6)*AF6*I6*AD6*AE6)</f>
        <v>-99.99999999998899</v>
      </c>
      <c r="Q6" s="26" t="n"/>
      <c r="R6" s="28">
        <f>IF(Q6&lt;&gt;"",Q6,IF(P6="","",P6-N(N6)+N(O6)))</f>
        <v>-103.49999999998899</v>
      </c>
      <c r="S6" s="27">
        <f>IF(OR(L6="",J6="",I6="",AD6=""),"",ABS(J6-L6)*I6*AD6*AE6)</f>
        <v>99.99999999998899</v>
      </c>
      <c r="T6" s="29">
        <f>IF(OR(R6="",S6="",S6=0),"",R6/S6)</f>
        <v>-1.035000000000004</v>
      </c>
      <c r="U6" s="20" t="str">
        <f>IF(R6="","",IF(R6&gt;0,"Ganadora",IF(R6&lt;0,"Perdedora","BE")))</f>
        <v>Perdedora</v>
      </c>
      <c r="V6" s="23" t="inlineStr">
        <is>
          <t>Ruptura</t>
        </is>
      </c>
      <c r="W6" s="23" t="inlineStr">
        <is>
          <t>Londres</t>
        </is>
      </c>
      <c r="X6" s="23" t="inlineStr">
        <is>
          <t>Moví el stop</t>
        </is>
      </c>
      <c r="Y6" s="23" t="inlineStr">
        <is>
          <t>Miedo</t>
        </is>
      </c>
      <c r="Z6" s="23" t="inlineStr">
        <is>
          <t>No</t>
        </is>
      </c>
      <c r="AA6" s="23" t="inlineStr">
        <is>
          <t>Entré antes de la confirmación.</t>
        </is>
      </c>
      <c r="AB6" s="30" t="n"/>
      <c r="AC6" s="1" t="n"/>
      <c r="AD6" s="1">
        <f>IF(G6="","",IFERROR(INDEX('Listas'!$N$6:$N$35,MATCH(G6,'Listas'!$M$6:$M$35,0)),""))</f>
        <v>100000</v>
      </c>
      <c r="AE6">
        <f>IF(G6="",1,IFERROR(INDEX('Listas'!$P$6:$P$35,MATCH(G6,'Listas'!$M$6:$M$35,0)),1))</f>
        <v>1</v>
      </c>
      <c r="AF6">
        <f>IF(H6="Compra",1,IF(H6="Venta",-1,0))</f>
        <v>-1</v>
      </c>
      <c r="AG6">
        <f>IF(AND(D6&lt;&gt;"",ISNUMBER(R6)),1,0)</f>
        <v>1</v>
      </c>
      <c r="AH6">
        <f>IF(AG6=0,0,IF(OR('Panel'!$D$5="Todas las cuentas",'Panel'!$D$5="",F6='Panel'!$D$5),1,0))</f>
        <v>1</v>
      </c>
      <c r="AI6">
        <f>IF(AH6=0,0,IF(AND(OR('Panel'!$G$5="",D6&gt;='Panel'!$G$5),OR('Panel'!$J$5="",D6&lt;='Panel'!$J$5)),1,0))</f>
        <v>1</v>
      </c>
      <c r="AJ6">
        <f>IF(AI6=1,R6,0)</f>
        <v>-103.49999999998899</v>
      </c>
      <c r="AK6">
        <f>IF(AI6=1,'Panel'!$AB$4+SUM($AJ$5:AJ6),"")</f>
        <v>20093.700000000015</v>
      </c>
      <c r="AL6">
        <f>IF(AI6=0,N(AL5),IF(R6&lt;0,N(AL5)+1,0))</f>
        <v>1</v>
      </c>
      <c r="AM6">
        <f>IF(AI6=0,N(AM5),IF(R6&gt;0,N(AM5)+1,0))</f>
        <v>0</v>
      </c>
      <c r="AN6">
        <f>IF(AI6=1,MAX('Panel'!$AB$4,N(AN5),AK6),N(AN5))</f>
        <v>20197.200000000004</v>
      </c>
      <c r="AO6">
        <f>IF(AI6=1,AN6-AK6,0)</f>
        <v>103.49999999998909</v>
      </c>
      <c r="AP6">
        <f>IF(AND(AI6=1,AN6&gt;0),AO6/AN6,0)</f>
        <v>0.005124472699185484</v>
      </c>
      <c r="AQ6">
        <f>IF(AI6=1,SUM($AI$5:AI6),"")</f>
        <v>2</v>
      </c>
      <c r="AR6">
        <f>IF(AI6=1,IF(COUNTIFS($D$5:D6,D6,$AI$5:AI6,1)=1,SUMIFS($AJ$5:$AJ$504,$D$5:$D$504,D6),""),"")</f>
        <v>-103.49999999998899</v>
      </c>
      <c r="AS6">
        <f>IF(AG6=1,WEEKDAY(D6,2),"")</f>
        <v>4</v>
      </c>
      <c r="AT6" s="31">
        <f>IF(AG6=1,DATE(YEAR(D6),MONTH(D6),1),"")</f>
        <v>46266</v>
      </c>
      <c r="AU6">
        <f>IF(AG6=0,0,IF(AND(OR('Prop challenge'!$D$7="",F6='Prop challenge'!$D$7),OR('Prop challenge'!$D$9="",D6&gt;='Prop challenge'!$D$9)),1,0))</f>
        <v>0</v>
      </c>
      <c r="AV6">
        <f>IF(AU6=1,IF(COUNTIFS($D$5:D6,D6,$AU$5:AU6,1)=1,1,0),0)</f>
        <v>0</v>
      </c>
      <c r="AW6" t="str">
        <f>IF(AV6=1,SUM($AV$5:AV6),"")</f>
        <v/>
      </c>
      <c r="AX6" t="str">
        <f>IF(AV6=1,SUMIFS($R$5:$R$504,$D$5:$D$504,D6,$AU$5:$AU$504,1),"")</f>
        <v/>
      </c>
    </row>
    <row r="7">
      <c r="A7" s="20">
        <f>IF(AG7=1,ROW()-4,"")</f>
        <v>3</v>
      </c>
      <c r="B7" s="21" t="n">
        <v>46269</v>
      </c>
      <c r="C7" s="22" t="n">
        <v>0.6701388888888888</v>
      </c>
      <c r="D7" s="21" t="n">
        <v>46269</v>
      </c>
      <c r="E7" s="22" t="n">
        <v>0.7881944444444444</v>
      </c>
      <c r="F7" s="23" t="inlineStr">
        <is>
          <t>Personal</t>
        </is>
      </c>
      <c r="G7" s="23" t="inlineStr">
        <is>
          <t>EURUSD</t>
        </is>
      </c>
      <c r="H7" s="23" t="inlineStr">
        <is>
          <t>Compra</t>
        </is>
      </c>
      <c r="I7" s="24" t="n">
        <v>0.5</v>
      </c>
      <c r="J7" s="25" t="n">
        <v>1.10043</v>
      </c>
      <c r="K7" s="25" t="n">
        <v>1.10343</v>
      </c>
      <c r="L7" s="25" t="n">
        <v>1.09843</v>
      </c>
      <c r="M7" s="25" t="n">
        <v>1.10443</v>
      </c>
      <c r="N7" s="26" t="n">
        <v>3.5</v>
      </c>
      <c r="O7" s="26" t="n">
        <v>0</v>
      </c>
      <c r="P7" s="27">
        <f>IF(OR(J7="",K7="",I7="",AF7=0,AD7=""),"",(K7-J7)*AF7*I7*AD7*AE7)</f>
        <v>149.99999999999457</v>
      </c>
      <c r="Q7" s="26" t="n"/>
      <c r="R7" s="28">
        <f>IF(Q7&lt;&gt;"",Q7,IF(P7="","",P7-N(N7)+N(O7)))</f>
        <v>146.49999999999457</v>
      </c>
      <c r="S7" s="27">
        <f>IF(OR(L7="",J7="",I7="",AD7=""),"",ABS(J7-L7)*I7*AD7*AE7)</f>
        <v>100.00000000000009</v>
      </c>
      <c r="T7" s="29">
        <f>IF(OR(R7="",S7="",S7=0),"",R7/S7)</f>
        <v>1.4649999999999446</v>
      </c>
      <c r="U7" s="20" t="str">
        <f>IF(R7="","",IF(R7&gt;0,"Ganadora",IF(R7&lt;0,"Perdedora","BE")))</f>
        <v>Ganadora</v>
      </c>
      <c r="V7" s="23" t="inlineStr">
        <is>
          <t>Pullback</t>
        </is>
      </c>
      <c r="W7" s="23" t="inlineStr">
        <is>
          <t>Nueva York</t>
        </is>
      </c>
      <c r="X7" s="23" t="inlineStr">
        <is>
          <t>Ninguno</t>
        </is>
      </c>
      <c r="Y7" s="23" t="inlineStr">
        <is>
          <t>Tranquilo</t>
        </is>
      </c>
      <c r="Z7" s="23" t="inlineStr">
        <is>
          <t>Sí</t>
        </is>
      </c>
      <c r="AA7" s="23" t="inlineStr">
        <is>
          <t>Parcial en 1R, el resto en objetivo.</t>
        </is>
      </c>
      <c r="AB7" s="30" t="n"/>
      <c r="AC7" s="1" t="n"/>
      <c r="AD7" s="1">
        <f>IF(G7="","",IFERROR(INDEX('Listas'!$N$6:$N$35,MATCH(G7,'Listas'!$M$6:$M$35,0)),""))</f>
        <v>100000</v>
      </c>
      <c r="AE7">
        <f>IF(G7="",1,IFERROR(INDEX('Listas'!$P$6:$P$35,MATCH(G7,'Listas'!$M$6:$M$35,0)),1))</f>
        <v>1</v>
      </c>
      <c r="AF7">
        <f>IF(H7="Compra",1,IF(H7="Venta",-1,0))</f>
        <v>1</v>
      </c>
      <c r="AG7">
        <f>IF(AND(D7&lt;&gt;"",ISNUMBER(R7)),1,0)</f>
        <v>1</v>
      </c>
      <c r="AH7">
        <f>IF(AG7=0,0,IF(OR('Panel'!$D$5="Todas las cuentas",'Panel'!$D$5="",F7='Panel'!$D$5),1,0))</f>
        <v>1</v>
      </c>
      <c r="AI7">
        <f>IF(AH7=0,0,IF(AND(OR('Panel'!$G$5="",D7&gt;='Panel'!$G$5),OR('Panel'!$J$5="",D7&lt;='Panel'!$J$5)),1,0))</f>
        <v>1</v>
      </c>
      <c r="AJ7">
        <f>IF(AI7=1,R7,0)</f>
        <v>146.49999999999457</v>
      </c>
      <c r="AK7">
        <f>IF(AI7=1,'Panel'!$AB$4+SUM($AJ$5:AJ7),"")</f>
        <v>20240.20000000001</v>
      </c>
      <c r="AL7">
        <f>IF(AI7=0,N(AL6),IF(R7&lt;0,N(AL6)+1,0))</f>
        <v>0</v>
      </c>
      <c r="AM7">
        <f>IF(AI7=0,N(AM6),IF(R7&gt;0,N(AM6)+1,0))</f>
        <v>1</v>
      </c>
      <c r="AN7">
        <f>IF(AI7=1,MAX('Panel'!$AB$4,N(AN6),AK7),N(AN6))</f>
        <v>20240.20000000001</v>
      </c>
      <c r="AO7">
        <f>IF(AI7=1,AN7-AK7,0)</f>
        <v>0</v>
      </c>
      <c r="AP7">
        <f>IF(AND(AI7=1,AN7&gt;0),AO7/AN7,0)</f>
        <v>0</v>
      </c>
      <c r="AQ7">
        <f>IF(AI7=1,SUM($AI$5:AI7),"")</f>
        <v>3</v>
      </c>
      <c r="AR7">
        <f>IF(AI7=1,IF(COUNTIFS($D$5:D7,D7,$AI$5:AI7,1)=1,SUMIFS($AJ$5:$AJ$504,$D$5:$D$504,D7),""),"")</f>
        <v>146.49999999999457</v>
      </c>
      <c r="AS7">
        <f>IF(AG7=1,WEEKDAY(D7,2),"")</f>
        <v>5</v>
      </c>
      <c r="AT7" s="31">
        <f>IF(AG7=1,DATE(YEAR(D7),MONTH(D7),1),"")</f>
        <v>46266</v>
      </c>
      <c r="AU7">
        <f>IF(AG7=0,0,IF(AND(OR('Prop challenge'!$D$7="",F7='Prop challenge'!$D$7),OR('Prop challenge'!$D$9="",D7&gt;='Prop challenge'!$D$9)),1,0))</f>
        <v>0</v>
      </c>
      <c r="AV7">
        <f>IF(AU7=1,IF(COUNTIFS($D$5:D7,D7,$AU$5:AU7,1)=1,1,0),0)</f>
        <v>0</v>
      </c>
      <c r="AW7" t="str">
        <f>IF(AV7=1,SUM($AV$5:AV7),"")</f>
        <v/>
      </c>
      <c r="AX7" t="str">
        <f>IF(AV7=1,SUMIFS($R$5:$R$504,$D$5:$D$504,D7,$AU$5:$AU$504,1),"")</f>
        <v/>
      </c>
    </row>
    <row r="8">
      <c r="A8" s="20">
        <f>IF(AG8=1,ROW()-4,"")</f>
        <v>4</v>
      </c>
      <c r="B8" s="21" t="n">
        <v>46272</v>
      </c>
      <c r="C8" s="22" t="n">
        <v>0.6284722222222222</v>
      </c>
      <c r="D8" s="21" t="n">
        <v>46272</v>
      </c>
      <c r="E8" s="22" t="n">
        <v>0.6388888888888888</v>
      </c>
      <c r="F8" s="23" t="inlineStr">
        <is>
          <t>Personal</t>
        </is>
      </c>
      <c r="G8" s="23" t="inlineStr">
        <is>
          <t>NAS100</t>
        </is>
      </c>
      <c r="H8" s="23" t="inlineStr">
        <is>
          <t>Venta</t>
        </is>
      </c>
      <c r="I8" s="24" t="n">
        <v>1.5</v>
      </c>
      <c r="J8" s="25" t="n">
        <v>25430.6</v>
      </c>
      <c r="K8" s="25" t="n">
        <v>25490.6</v>
      </c>
      <c r="L8" s="25" t="n">
        <v>25490.6</v>
      </c>
      <c r="M8" s="25" t="n">
        <v>25310.6</v>
      </c>
      <c r="N8" s="26" t="n">
        <v>0</v>
      </c>
      <c r="O8" s="26" t="n">
        <v>0</v>
      </c>
      <c r="P8" s="27">
        <f>IF(OR(J8="",K8="",I8="",AF8=0,AD8=""),"",(K8-J8)*AF8*I8*AD8*AE8)</f>
        <v>-90</v>
      </c>
      <c r="Q8" s="26" t="n"/>
      <c r="R8" s="28">
        <f>IF(Q8&lt;&gt;"",Q8,IF(P8="","",P8-N(N8)+N(O8)))</f>
        <v>-90</v>
      </c>
      <c r="S8" s="27">
        <f>IF(OR(L8="",J8="",I8="",AD8=""),"",ABS(J8-L8)*I8*AD8*AE8)</f>
        <v>90</v>
      </c>
      <c r="T8" s="29">
        <f>IF(OR(R8="",S8="",S8=0),"",R8/S8)</f>
        <v>-1</v>
      </c>
      <c r="U8" s="20" t="str">
        <f>IF(R8="","",IF(R8&gt;0,"Ganadora",IF(R8&lt;0,"Perdedora","BE")))</f>
        <v>Perdedora</v>
      </c>
      <c r="V8" s="23" t="inlineStr">
        <is>
          <t>Rebote en rango</t>
        </is>
      </c>
      <c r="W8" s="23" t="inlineStr">
        <is>
          <t>Solape Londres–NY</t>
        </is>
      </c>
      <c r="X8" s="23" t="inlineStr">
        <is>
          <t>Ninguno</t>
        </is>
      </c>
      <c r="Y8" s="23" t="inlineStr">
        <is>
          <t>Frustrado</t>
        </is>
      </c>
      <c r="Z8" s="23" t="inlineStr">
        <is>
          <t>Sí</t>
        </is>
      </c>
      <c r="AA8" s="23" t="inlineStr">
        <is>
          <t>Un pico de noticias me sacó por stop.</t>
        </is>
      </c>
      <c r="AB8" s="30" t="n"/>
      <c r="AC8" s="1" t="n"/>
      <c r="AD8" s="1">
        <f>IF(G8="","",IFERROR(INDEX('Listas'!$N$6:$N$35,MATCH(G8,'Listas'!$M$6:$M$35,0)),""))</f>
        <v>1</v>
      </c>
      <c r="AE8">
        <f>IF(G8="",1,IFERROR(INDEX('Listas'!$P$6:$P$35,MATCH(G8,'Listas'!$M$6:$M$35,0)),1))</f>
        <v>1</v>
      </c>
      <c r="AF8">
        <f>IF(H8="Compra",1,IF(H8="Venta",-1,0))</f>
        <v>-1</v>
      </c>
      <c r="AG8">
        <f>IF(AND(D8&lt;&gt;"",ISNUMBER(R8)),1,0)</f>
        <v>1</v>
      </c>
      <c r="AH8">
        <f>IF(AG8=0,0,IF(OR('Panel'!$D$5="Todas las cuentas",'Panel'!$D$5="",F8='Panel'!$D$5),1,0))</f>
        <v>1</v>
      </c>
      <c r="AI8">
        <f>IF(AH8=0,0,IF(AND(OR('Panel'!$G$5="",D8&gt;='Panel'!$G$5),OR('Panel'!$J$5="",D8&lt;='Panel'!$J$5)),1,0))</f>
        <v>1</v>
      </c>
      <c r="AJ8">
        <f>IF(AI8=1,R8,0)</f>
        <v>-90</v>
      </c>
      <c r="AK8">
        <f>IF(AI8=1,'Panel'!$AB$4+SUM($AJ$5:AJ8),"")</f>
        <v>20150.20000000001</v>
      </c>
      <c r="AL8">
        <f>IF(AI8=0,N(AL7),IF(R8&lt;0,N(AL7)+1,0))</f>
        <v>1</v>
      </c>
      <c r="AM8">
        <f>IF(AI8=0,N(AM7),IF(R8&gt;0,N(AM7)+1,0))</f>
        <v>0</v>
      </c>
      <c r="AN8">
        <f>IF(AI8=1,MAX('Panel'!$AB$4,N(AN7),AK8),N(AN7))</f>
        <v>20240.20000000001</v>
      </c>
      <c r="AO8">
        <f>IF(AI8=1,AN8-AK8,0)</f>
        <v>90</v>
      </c>
      <c r="AP8">
        <f>IF(AND(AI8=1,AN8&gt;0),AO8/AN8,0)</f>
        <v>0.0044465963775061484</v>
      </c>
      <c r="AQ8">
        <f>IF(AI8=1,SUM($AI$5:AI8),"")</f>
        <v>4</v>
      </c>
      <c r="AR8">
        <f>IF(AI8=1,IF(COUNTIFS($D$5:D8,D8,$AI$5:AI8,1)=1,SUMIFS($AJ$5:$AJ$504,$D$5:$D$504,D8),""),"")</f>
        <v>-90</v>
      </c>
      <c r="AS8">
        <f>IF(AG8=1,WEEKDAY(D8,2),"")</f>
        <v>1</v>
      </c>
      <c r="AT8" s="31">
        <f>IF(AG8=1,DATE(YEAR(D8),MONTH(D8),1),"")</f>
        <v>46266</v>
      </c>
      <c r="AU8">
        <f>IF(AG8=0,0,IF(AND(OR('Prop challenge'!$D$7="",F8='Prop challenge'!$D$7),OR('Prop challenge'!$D$9="",D8&gt;='Prop challenge'!$D$9)),1,0))</f>
        <v>0</v>
      </c>
      <c r="AV8">
        <f>IF(AU8=1,IF(COUNTIFS($D$5:D8,D8,$AU$5:AU8,1)=1,1,0),0)</f>
        <v>0</v>
      </c>
      <c r="AW8" t="str">
        <f>IF(AV8=1,SUM($AV$5:AV8),"")</f>
        <v/>
      </c>
      <c r="AX8" t="str">
        <f>IF(AV8=1,SUMIFS($R$5:$R$504,$D$5:$D$504,D8,$AU$5:$AU$504,1),"")</f>
        <v/>
      </c>
    </row>
    <row r="9">
      <c r="A9" s="20">
        <f>IF(AG9=1,ROW()-4,"")</f>
        <v>5</v>
      </c>
      <c r="B9" s="21" t="n">
        <v>46273</v>
      </c>
      <c r="C9" s="22" t="n">
        <v>0.6041666666666666</v>
      </c>
      <c r="D9" s="21" t="n">
        <v>46273</v>
      </c>
      <c r="E9" s="22" t="n">
        <v>0.7048611111111112</v>
      </c>
      <c r="F9" s="23" t="inlineStr">
        <is>
          <t>Personal</t>
        </is>
      </c>
      <c r="G9" s="23" t="inlineStr">
        <is>
          <t>EURUSD</t>
        </is>
      </c>
      <c r="H9" s="23" t="inlineStr">
        <is>
          <t>Compra</t>
        </is>
      </c>
      <c r="I9" s="24" t="n">
        <v>0.5</v>
      </c>
      <c r="J9" s="25" t="n">
        <v>1.11042</v>
      </c>
      <c r="K9" s="25" t="n">
        <v>1.11042</v>
      </c>
      <c r="L9" s="25" t="n">
        <v>1.10842</v>
      </c>
      <c r="M9" s="25" t="n">
        <v>1.11442</v>
      </c>
      <c r="N9" s="26" t="n">
        <v>3.5</v>
      </c>
      <c r="O9" s="26" t="n">
        <v>0</v>
      </c>
      <c r="P9" s="27">
        <f>IF(OR(J9="",K9="",I9="",AF9=0,AD9=""),"",(K9-J9)*AF9*I9*AD9*AE9)</f>
        <v>0</v>
      </c>
      <c r="Q9" s="26" t="n"/>
      <c r="R9" s="28">
        <f>IF(Q9&lt;&gt;"",Q9,IF(P9="","",P9-N(N9)+N(O9)))</f>
        <v>-3.5</v>
      </c>
      <c r="S9" s="27">
        <f>IF(OR(L9="",J9="",I9="",AD9=""),"",ABS(J9-L9)*I9*AD9*AE9)</f>
        <v>100.00000000000009</v>
      </c>
      <c r="T9" s="29">
        <f>IF(OR(R9="",S9="",S9=0),"",R9/S9)</f>
        <v>-0.03499999999999997</v>
      </c>
      <c r="U9" s="20" t="str">
        <f>IF(R9="","",IF(R9&gt;0,"Ganadora",IF(R9&lt;0,"Perdedora","BE")))</f>
        <v>Perdedora</v>
      </c>
      <c r="V9" s="23" t="inlineStr">
        <is>
          <t>Continuación</t>
        </is>
      </c>
      <c r="W9" s="23" t="inlineStr">
        <is>
          <t>Solape Londres–NY</t>
        </is>
      </c>
      <c r="X9" s="23" t="inlineStr">
        <is>
          <t>Ninguno</t>
        </is>
      </c>
      <c r="Y9" s="23" t="inlineStr">
        <is>
          <t>Tranquilo</t>
        </is>
      </c>
      <c r="Z9" s="23" t="inlineStr">
        <is>
          <t>Sí</t>
        </is>
      </c>
      <c r="AA9" s="23" t="inlineStr">
        <is>
          <t>Seguí el plan al pie de la letra.</t>
        </is>
      </c>
      <c r="AB9" s="30" t="n"/>
      <c r="AC9" s="1" t="n"/>
      <c r="AD9" s="1">
        <f>IF(G9="","",IFERROR(INDEX('Listas'!$N$6:$N$35,MATCH(G9,'Listas'!$M$6:$M$35,0)),""))</f>
        <v>100000</v>
      </c>
      <c r="AE9">
        <f>IF(G9="",1,IFERROR(INDEX('Listas'!$P$6:$P$35,MATCH(G9,'Listas'!$M$6:$M$35,0)),1))</f>
        <v>1</v>
      </c>
      <c r="AF9">
        <f>IF(H9="Compra",1,IF(H9="Venta",-1,0))</f>
        <v>1</v>
      </c>
      <c r="AG9">
        <f>IF(AND(D9&lt;&gt;"",ISNUMBER(R9)),1,0)</f>
        <v>1</v>
      </c>
      <c r="AH9">
        <f>IF(AG9=0,0,IF(OR('Panel'!$D$5="Todas las cuentas",'Panel'!$D$5="",F9='Panel'!$D$5),1,0))</f>
        <v>1</v>
      </c>
      <c r="AI9">
        <f>IF(AH9=0,0,IF(AND(OR('Panel'!$G$5="",D9&gt;='Panel'!$G$5),OR('Panel'!$J$5="",D9&lt;='Panel'!$J$5)),1,0))</f>
        <v>1</v>
      </c>
      <c r="AJ9">
        <f>IF(AI9=1,R9,0)</f>
        <v>-3.5</v>
      </c>
      <c r="AK9">
        <f>IF(AI9=1,'Panel'!$AB$4+SUM($AJ$5:AJ9),"")</f>
        <v>20146.70000000001</v>
      </c>
      <c r="AL9">
        <f>IF(AI9=0,N(AL8),IF(R9&lt;0,N(AL8)+1,0))</f>
        <v>2</v>
      </c>
      <c r="AM9">
        <f>IF(AI9=0,N(AM8),IF(R9&gt;0,N(AM8)+1,0))</f>
        <v>0</v>
      </c>
      <c r="AN9">
        <f>IF(AI9=1,MAX('Panel'!$AB$4,N(AN8),AK9),N(AN8))</f>
        <v>20240.20000000001</v>
      </c>
      <c r="AO9">
        <f>IF(AI9=1,AN9-AK9,0)</f>
        <v>93.5</v>
      </c>
      <c r="AP9">
        <f>IF(AND(AI9=1,AN9&gt;0),AO9/AN9,0)</f>
        <v>0.004619519569964721</v>
      </c>
      <c r="AQ9">
        <f>IF(AI9=1,SUM($AI$5:AI9),"")</f>
        <v>5</v>
      </c>
      <c r="AR9">
        <f>IF(AI9=1,IF(COUNTIFS($D$5:D9,D9,$AI$5:AI9,1)=1,SUMIFS($AJ$5:$AJ$504,$D$5:$D$504,D9),""),"")</f>
        <v>-3.5</v>
      </c>
      <c r="AS9">
        <f>IF(AG9=1,WEEKDAY(D9,2),"")</f>
        <v>2</v>
      </c>
      <c r="AT9" s="31">
        <f>IF(AG9=1,DATE(YEAR(D9),MONTH(D9),1),"")</f>
        <v>46266</v>
      </c>
      <c r="AU9">
        <f>IF(AG9=0,0,IF(AND(OR('Prop challenge'!$D$7="",F9='Prop challenge'!$D$7),OR('Prop challenge'!$D$9="",D9&gt;='Prop challenge'!$D$9)),1,0))</f>
        <v>0</v>
      </c>
      <c r="AV9">
        <f>IF(AU9=1,IF(COUNTIFS($D$5:D9,D9,$AU$5:AU9,1)=1,1,0),0)</f>
        <v>0</v>
      </c>
      <c r="AW9" t="str">
        <f>IF(AV9=1,SUM($AV$5:AV9),"")</f>
        <v/>
      </c>
      <c r="AX9" t="str">
        <f>IF(AV9=1,SUMIFS($R$5:$R$504,$D$5:$D$504,D9,$AU$5:$AU$504,1),"")</f>
        <v/>
      </c>
    </row>
    <row r="10">
      <c r="A10" s="20">
        <f>IF(AG10=1,ROW()-4,"")</f>
        <v>6</v>
      </c>
      <c r="B10" s="21" t="n">
        <v>46274</v>
      </c>
      <c r="C10" s="22" t="n">
        <v>0.3333333333333333</v>
      </c>
      <c r="D10" s="21" t="n">
        <v>46274</v>
      </c>
      <c r="E10" s="22" t="n">
        <v>0.4548611111111111</v>
      </c>
      <c r="F10" s="23" t="inlineStr">
        <is>
          <t>Personal</t>
        </is>
      </c>
      <c r="G10" s="23" t="inlineStr">
        <is>
          <t>GBPUSD</t>
        </is>
      </c>
      <c r="H10" s="23" t="inlineStr">
        <is>
          <t>Compra</t>
        </is>
      </c>
      <c r="I10" s="24" t="n">
        <v>0.4</v>
      </c>
      <c r="J10" s="25" t="n">
        <v>1.33429</v>
      </c>
      <c r="K10" s="25" t="n">
        <v>1.34079</v>
      </c>
      <c r="L10" s="25" t="n">
        <v>1.33179</v>
      </c>
      <c r="M10" s="25" t="n">
        <v>1.33929</v>
      </c>
      <c r="N10" s="26" t="n">
        <v>2.8</v>
      </c>
      <c r="O10" s="26" t="n">
        <v>0</v>
      </c>
      <c r="P10" s="27">
        <f>IF(OR(J10="",K10="",I10="",AF10=0,AD10=""),"",(K10-J10)*AF10*I10*AD10*AE10)</f>
        <v>259.999999999998</v>
      </c>
      <c r="Q10" s="26" t="n"/>
      <c r="R10" s="28">
        <f>IF(Q10&lt;&gt;"",Q10,IF(P10="","",P10-N(N10)+N(O10)))</f>
        <v>257.199999999998</v>
      </c>
      <c r="S10" s="27">
        <f>IF(OR(L10="",J10="",I10="",AD10=""),"",ABS(J10-L10)*I10*AD10*AE10)</f>
        <v>99.99999999999788</v>
      </c>
      <c r="T10" s="29">
        <f>IF(OR(R10="",S10="",S10=0),"",R10/S10)</f>
        <v>2.5720000000000343</v>
      </c>
      <c r="U10" s="20" t="str">
        <f>IF(R10="","",IF(R10&gt;0,"Ganadora",IF(R10&lt;0,"Perdedora","BE")))</f>
        <v>Ganadora</v>
      </c>
      <c r="V10" s="23" t="inlineStr">
        <is>
          <t>Rebote en rango</t>
        </is>
      </c>
      <c r="W10" s="23" t="inlineStr">
        <is>
          <t>Londres</t>
        </is>
      </c>
      <c r="X10" s="23" t="inlineStr">
        <is>
          <t>Ninguno</t>
        </is>
      </c>
      <c r="Y10" s="23" t="inlineStr">
        <is>
          <t>Tranquilo</t>
        </is>
      </c>
      <c r="Z10" s="23" t="inlineStr">
        <is>
          <t>Sí</t>
        </is>
      </c>
      <c r="AA10" s="23" t="inlineStr">
        <is>
          <t>Debí no operar: poco volumen.</t>
        </is>
      </c>
      <c r="AB10" s="30" t="n"/>
      <c r="AC10" s="1" t="n"/>
      <c r="AD10" s="1">
        <f>IF(G10="","",IFERROR(INDEX('Listas'!$N$6:$N$35,MATCH(G10,'Listas'!$M$6:$M$35,0)),""))</f>
        <v>100000</v>
      </c>
      <c r="AE10">
        <f>IF(G10="",1,IFERROR(INDEX('Listas'!$P$6:$P$35,MATCH(G10,'Listas'!$M$6:$M$35,0)),1))</f>
        <v>1</v>
      </c>
      <c r="AF10">
        <f>IF(H10="Compra",1,IF(H10="Venta",-1,0))</f>
        <v>1</v>
      </c>
      <c r="AG10">
        <f>IF(AND(D10&lt;&gt;"",ISNUMBER(R10)),1,0)</f>
        <v>1</v>
      </c>
      <c r="AH10">
        <f>IF(AG10=0,0,IF(OR('Panel'!$D$5="Todas las cuentas",'Panel'!$D$5="",F10='Panel'!$D$5),1,0))</f>
        <v>1</v>
      </c>
      <c r="AI10">
        <f>IF(AH10=0,0,IF(AND(OR('Panel'!$G$5="",D10&gt;='Panel'!$G$5),OR('Panel'!$J$5="",D10&lt;='Panel'!$J$5)),1,0))</f>
        <v>1</v>
      </c>
      <c r="AJ10">
        <f>IF(AI10=1,R10,0)</f>
        <v>257.199999999998</v>
      </c>
      <c r="AK10">
        <f>IF(AI10=1,'Panel'!$AB$4+SUM($AJ$5:AJ10),"")</f>
        <v>20403.90000000001</v>
      </c>
      <c r="AL10">
        <f>IF(AI10=0,N(AL9),IF(R10&lt;0,N(AL9)+1,0))</f>
        <v>0</v>
      </c>
      <c r="AM10">
        <f>IF(AI10=0,N(AM9),IF(R10&gt;0,N(AM9)+1,0))</f>
        <v>1</v>
      </c>
      <c r="AN10">
        <f>IF(AI10=1,MAX('Panel'!$AB$4,N(AN9),AK10),N(AN9))</f>
        <v>20403.90000000001</v>
      </c>
      <c r="AO10">
        <f>IF(AI10=1,AN10-AK10,0)</f>
        <v>0</v>
      </c>
      <c r="AP10">
        <f>IF(AND(AI10=1,AN10&gt;0),AO10/AN10,0)</f>
        <v>0</v>
      </c>
      <c r="AQ10">
        <f>IF(AI10=1,SUM($AI$5:AI10),"")</f>
        <v>6</v>
      </c>
      <c r="AR10">
        <f>IF(AI10=1,IF(COUNTIFS($D$5:D10,D10,$AI$5:AI10,1)=1,SUMIFS($AJ$5:$AJ$504,$D$5:$D$504,D10),""),"")</f>
        <v>257.199999999998</v>
      </c>
      <c r="AS10">
        <f>IF(AG10=1,WEEKDAY(D10,2),"")</f>
        <v>3</v>
      </c>
      <c r="AT10" s="31">
        <f>IF(AG10=1,DATE(YEAR(D10),MONTH(D10),1),"")</f>
        <v>46266</v>
      </c>
      <c r="AU10">
        <f>IF(AG10=0,0,IF(AND(OR('Prop challenge'!$D$7="",F10='Prop challenge'!$D$7),OR('Prop challenge'!$D$9="",D10&gt;='Prop challenge'!$D$9)),1,0))</f>
        <v>0</v>
      </c>
      <c r="AV10">
        <f>IF(AU10=1,IF(COUNTIFS($D$5:D10,D10,$AU$5:AU10,1)=1,1,0),0)</f>
        <v>0</v>
      </c>
      <c r="AW10" t="str">
        <f>IF(AV10=1,SUM($AV$5:AV10),"")</f>
        <v/>
      </c>
      <c r="AX10" t="str">
        <f>IF(AV10=1,SUMIFS($R$5:$R$504,$D$5:$D$504,D10,$AU$5:$AU$504,1),"")</f>
        <v/>
      </c>
    </row>
    <row r="11">
      <c r="A11" s="20">
        <f>IF(AG11=1,ROW()-4,"")</f>
        <v>7</v>
      </c>
      <c r="B11" s="21" t="n">
        <v>46275</v>
      </c>
      <c r="C11" s="22" t="n">
        <v>0.4201388888888889</v>
      </c>
      <c r="D11" s="21" t="n">
        <v>46275</v>
      </c>
      <c r="E11" s="22" t="n">
        <v>0.5138888888888888</v>
      </c>
      <c r="F11" s="23" t="inlineStr">
        <is>
          <t>Personal</t>
        </is>
      </c>
      <c r="G11" s="23" t="inlineStr">
        <is>
          <t>USDJPY</t>
        </is>
      </c>
      <c r="H11" s="23" t="inlineStr">
        <is>
          <t>Compra</t>
        </is>
      </c>
      <c r="I11" s="24" t="n">
        <v>0.5</v>
      </c>
      <c r="J11" s="25" t="n">
        <v>156.992</v>
      </c>
      <c r="K11" s="25" t="n">
        <v>156.842</v>
      </c>
      <c r="L11" s="25" t="n">
        <v>156.692</v>
      </c>
      <c r="M11" s="25" t="n">
        <v>157.592</v>
      </c>
      <c r="N11" s="26" t="n">
        <v>3.5</v>
      </c>
      <c r="O11" s="26" t="n">
        <v>0</v>
      </c>
      <c r="P11" s="27">
        <f>IF(OR(J11="",K11="",I11="",AF11=0,AD11=""),"",(K11-J11)*AF11*I11*AD11*AE11)</f>
        <v>-47.45249999999281</v>
      </c>
      <c r="Q11" s="26" t="n"/>
      <c r="R11" s="28">
        <f>IF(Q11&lt;&gt;"",Q11,IF(P11="","",P11-N(N11)+N(O11)))</f>
        <v>-50.95249999999281</v>
      </c>
      <c r="S11" s="27">
        <f>IF(OR(L11="",J11="",I11="",AD11=""),"",ABS(J11-L11)*I11*AD11*AE11)</f>
        <v>94.9049999999946</v>
      </c>
      <c r="T11" s="29">
        <f>IF(OR(R11="",S11="",S11=0),"",R11/S11)</f>
        <v>-0.5368789842473601</v>
      </c>
      <c r="U11" s="20" t="str">
        <f>IF(R11="","",IF(R11&gt;0,"Ganadora",IF(R11&lt;0,"Perdedora","BE")))</f>
        <v>Perdedora</v>
      </c>
      <c r="V11" s="23" t="inlineStr">
        <is>
          <t>Continuación</t>
        </is>
      </c>
      <c r="W11" s="23" t="inlineStr">
        <is>
          <t>Londres</t>
        </is>
      </c>
      <c r="X11" s="23" t="inlineStr">
        <is>
          <t>Ninguno</t>
        </is>
      </c>
      <c r="Y11" s="23" t="inlineStr">
        <is>
          <t>Frustrado</t>
        </is>
      </c>
      <c r="Z11" s="23" t="inlineStr">
        <is>
          <t>Sí</t>
        </is>
      </c>
      <c r="AA11" s="23" t="inlineStr">
        <is>
          <t>Esperé el retest, entrada limpia.</t>
        </is>
      </c>
      <c r="AB11" s="30" t="n"/>
      <c r="AC11" s="1" t="n"/>
      <c r="AD11" s="1">
        <f>IF(G11="","",IFERROR(INDEX('Listas'!$N$6:$N$35,MATCH(G11,'Listas'!$M$6:$M$35,0)),""))</f>
        <v>100000</v>
      </c>
      <c r="AE11">
        <f>IF(G11="",1,IFERROR(INDEX('Listas'!$P$6:$P$35,MATCH(G11,'Listas'!$M$6:$M$35,0)),1))</f>
        <v>0.006327</v>
      </c>
      <c r="AF11">
        <f>IF(H11="Compra",1,IF(H11="Venta",-1,0))</f>
        <v>1</v>
      </c>
      <c r="AG11">
        <f>IF(AND(D11&lt;&gt;"",ISNUMBER(R11)),1,0)</f>
        <v>1</v>
      </c>
      <c r="AH11">
        <f>IF(AG11=0,0,IF(OR('Panel'!$D$5="Todas las cuentas",'Panel'!$D$5="",F11='Panel'!$D$5),1,0))</f>
        <v>1</v>
      </c>
      <c r="AI11">
        <f>IF(AH11=0,0,IF(AND(OR('Panel'!$G$5="",D11&gt;='Panel'!$G$5),OR('Panel'!$J$5="",D11&lt;='Panel'!$J$5)),1,0))</f>
        <v>1</v>
      </c>
      <c r="AJ11">
        <f>IF(AI11=1,R11,0)</f>
        <v>-50.95249999999281</v>
      </c>
      <c r="AK11">
        <f>IF(AI11=1,'Panel'!$AB$4+SUM($AJ$5:AJ11),"")</f>
        <v>20352.947500000017</v>
      </c>
      <c r="AL11">
        <f>IF(AI11=0,N(AL10),IF(R11&lt;0,N(AL10)+1,0))</f>
        <v>1</v>
      </c>
      <c r="AM11">
        <f>IF(AI11=0,N(AM10),IF(R11&gt;0,N(AM10)+1,0))</f>
        <v>0</v>
      </c>
      <c r="AN11">
        <f>IF(AI11=1,MAX('Panel'!$AB$4,N(AN10),AK11),N(AN10))</f>
        <v>20403.90000000001</v>
      </c>
      <c r="AO11">
        <f>IF(AI11=1,AN11-AK11,0)</f>
        <v>50.95249999999214</v>
      </c>
      <c r="AP11">
        <f>IF(AND(AI11=1,AN11&gt;0),AO11/AN11,0)</f>
        <v>0.002497194163860444</v>
      </c>
      <c r="AQ11">
        <f>IF(AI11=1,SUM($AI$5:AI11),"")</f>
        <v>7</v>
      </c>
      <c r="AR11">
        <f>IF(AI11=1,IF(COUNTIFS($D$5:D11,D11,$AI$5:AI11,1)=1,SUMIFS($AJ$5:$AJ$504,$D$5:$D$504,D11),""),"")</f>
        <v>-50.95249999999281</v>
      </c>
      <c r="AS11">
        <f>IF(AG11=1,WEEKDAY(D11,2),"")</f>
        <v>4</v>
      </c>
      <c r="AT11" s="31">
        <f>IF(AG11=1,DATE(YEAR(D11),MONTH(D11),1),"")</f>
        <v>46266</v>
      </c>
      <c r="AU11">
        <f>IF(AG11=0,0,IF(AND(OR('Prop challenge'!$D$7="",F11='Prop challenge'!$D$7),OR('Prop challenge'!$D$9="",D11&gt;='Prop challenge'!$D$9)),1,0))</f>
        <v>0</v>
      </c>
      <c r="AV11">
        <f>IF(AU11=1,IF(COUNTIFS($D$5:D11,D11,$AU$5:AU11,1)=1,1,0),0)</f>
        <v>0</v>
      </c>
      <c r="AW11" t="str">
        <f>IF(AV11=1,SUM($AV$5:AV11),"")</f>
        <v/>
      </c>
      <c r="AX11" t="str">
        <f>IF(AV11=1,SUMIFS($R$5:$R$504,$D$5:$D$504,D11,$AU$5:$AU$504,1),"")</f>
        <v/>
      </c>
    </row>
    <row r="12">
      <c r="A12" s="20">
        <f>IF(AG12=1,ROW()-4,"")</f>
        <v>8</v>
      </c>
      <c r="B12" s="21" t="n">
        <v>46276</v>
      </c>
      <c r="C12" s="22" t="n">
        <v>0.40625</v>
      </c>
      <c r="D12" s="21" t="n">
        <v>46276</v>
      </c>
      <c r="E12" s="22" t="n">
        <v>0.5381944444444444</v>
      </c>
      <c r="F12" s="23" t="inlineStr">
        <is>
          <t>Personal</t>
        </is>
      </c>
      <c r="G12" s="23" t="inlineStr">
        <is>
          <t>NAS100</t>
        </is>
      </c>
      <c r="H12" s="23" t="inlineStr">
        <is>
          <t>Venta</t>
        </is>
      </c>
      <c r="I12" s="24" t="n">
        <v>1.5</v>
      </c>
      <c r="J12" s="25" t="n">
        <v>25318.8</v>
      </c>
      <c r="K12" s="25" t="n">
        <v>25378.8</v>
      </c>
      <c r="L12" s="25" t="n">
        <v>25378.8</v>
      </c>
      <c r="M12" s="25" t="n">
        <v>25198.8</v>
      </c>
      <c r="N12" s="26" t="n">
        <v>0</v>
      </c>
      <c r="O12" s="26" t="n">
        <v>0</v>
      </c>
      <c r="P12" s="27">
        <f>IF(OR(J12="",K12="",I12="",AF12=0,AD12=""),"",(K12-J12)*AF12*I12*AD12*AE12)</f>
        <v>-90</v>
      </c>
      <c r="Q12" s="26" t="n"/>
      <c r="R12" s="28">
        <f>IF(Q12&lt;&gt;"",Q12,IF(P12="","",P12-N(N12)+N(O12)))</f>
        <v>-90</v>
      </c>
      <c r="S12" s="27">
        <f>IF(OR(L12="",J12="",I12="",AD12=""),"",ABS(J12-L12)*I12*AD12*AE12)</f>
        <v>90</v>
      </c>
      <c r="T12" s="29">
        <f>IF(OR(R12="",S12="",S12=0),"",R12/S12)</f>
        <v>-1</v>
      </c>
      <c r="U12" s="20" t="str">
        <f>IF(R12="","",IF(R12&gt;0,"Ganadora",IF(R12&lt;0,"Perdedora","BE")))</f>
        <v>Perdedora</v>
      </c>
      <c r="V12" s="23" t="inlineStr">
        <is>
          <t>Ruptura</t>
        </is>
      </c>
      <c r="W12" s="23" t="inlineStr">
        <is>
          <t>Londres</t>
        </is>
      </c>
      <c r="X12" s="23" t="inlineStr">
        <is>
          <t>Lotaje excesivo</t>
        </is>
      </c>
      <c r="Y12" s="23" t="inlineStr">
        <is>
          <t>FOMO</t>
        </is>
      </c>
      <c r="Z12" s="23" t="inlineStr">
        <is>
          <t>No</t>
        </is>
      </c>
      <c r="AA12" s="23" t="inlineStr">
        <is>
          <t>Entré antes de la confirmación.</t>
        </is>
      </c>
      <c r="AB12" s="30" t="n"/>
      <c r="AC12" s="1" t="n"/>
      <c r="AD12" s="1">
        <f>IF(G12="","",IFERROR(INDEX('Listas'!$N$6:$N$35,MATCH(G12,'Listas'!$M$6:$M$35,0)),""))</f>
        <v>1</v>
      </c>
      <c r="AE12">
        <f>IF(G12="",1,IFERROR(INDEX('Listas'!$P$6:$P$35,MATCH(G12,'Listas'!$M$6:$M$35,0)),1))</f>
        <v>1</v>
      </c>
      <c r="AF12">
        <f>IF(H12="Compra",1,IF(H12="Venta",-1,0))</f>
        <v>-1</v>
      </c>
      <c r="AG12">
        <f>IF(AND(D12&lt;&gt;"",ISNUMBER(R12)),1,0)</f>
        <v>1</v>
      </c>
      <c r="AH12">
        <f>IF(AG12=0,0,IF(OR('Panel'!$D$5="Todas las cuentas",'Panel'!$D$5="",F12='Panel'!$D$5),1,0))</f>
        <v>1</v>
      </c>
      <c r="AI12">
        <f>IF(AH12=0,0,IF(AND(OR('Panel'!$G$5="",D12&gt;='Panel'!$G$5),OR('Panel'!$J$5="",D12&lt;='Panel'!$J$5)),1,0))</f>
        <v>1</v>
      </c>
      <c r="AJ12">
        <f>IF(AI12=1,R12,0)</f>
        <v>-90</v>
      </c>
      <c r="AK12">
        <f>IF(AI12=1,'Panel'!$AB$4+SUM($AJ$5:AJ12),"")</f>
        <v>20262.947500000017</v>
      </c>
      <c r="AL12">
        <f>IF(AI12=0,N(AL11),IF(R12&lt;0,N(AL11)+1,0))</f>
        <v>2</v>
      </c>
      <c r="AM12">
        <f>IF(AI12=0,N(AM11),IF(R12&gt;0,N(AM11)+1,0))</f>
        <v>0</v>
      </c>
      <c r="AN12">
        <f>IF(AI12=1,MAX('Panel'!$AB$4,N(AN11),AK12),N(AN11))</f>
        <v>20403.90000000001</v>
      </c>
      <c r="AO12">
        <f>IF(AI12=1,AN12-AK12,0)</f>
        <v>140.95249999999214</v>
      </c>
      <c r="AP12">
        <f>IF(AND(AI12=1,AN12&gt;0),AO12/AN12,0)</f>
        <v>0.006908115605349569</v>
      </c>
      <c r="AQ12">
        <f>IF(AI12=1,SUM($AI$5:AI12),"")</f>
        <v>8</v>
      </c>
      <c r="AR12">
        <f>IF(AI12=1,IF(COUNTIFS($D$5:D12,D12,$AI$5:AI12,1)=1,SUMIFS($AJ$5:$AJ$504,$D$5:$D$504,D12),""),"")</f>
        <v>-90</v>
      </c>
      <c r="AS12">
        <f>IF(AG12=1,WEEKDAY(D12,2),"")</f>
        <v>5</v>
      </c>
      <c r="AT12" s="31">
        <f>IF(AG12=1,DATE(YEAR(D12),MONTH(D12),1),"")</f>
        <v>46266</v>
      </c>
      <c r="AU12">
        <f>IF(AG12=0,0,IF(AND(OR('Prop challenge'!$D$7="",F12='Prop challenge'!$D$7),OR('Prop challenge'!$D$9="",D12&gt;='Prop challenge'!$D$9)),1,0))</f>
        <v>0</v>
      </c>
      <c r="AV12">
        <f>IF(AU12=1,IF(COUNTIFS($D$5:D12,D12,$AU$5:AU12,1)=1,1,0),0)</f>
        <v>0</v>
      </c>
      <c r="AW12" t="str">
        <f>IF(AV12=1,SUM($AV$5:AV12),"")</f>
        <v/>
      </c>
      <c r="AX12" t="str">
        <f>IF(AV12=1,SUMIFS($R$5:$R$504,$D$5:$D$504,D12,$AU$5:$AU$504,1),"")</f>
        <v/>
      </c>
    </row>
    <row r="13">
      <c r="A13" s="20">
        <f>IF(AG13=1,ROW()-4,"")</f>
        <v>9</v>
      </c>
      <c r="B13" s="21" t="n">
        <v>46279</v>
      </c>
      <c r="C13" s="22" t="n">
        <v>0.40625</v>
      </c>
      <c r="D13" s="21" t="n">
        <v>46279</v>
      </c>
      <c r="E13" s="22" t="n">
        <v>0.5277777777777778</v>
      </c>
      <c r="F13" s="23" t="inlineStr">
        <is>
          <t>Personal</t>
        </is>
      </c>
      <c r="G13" s="23" t="inlineStr">
        <is>
          <t>EURUSD</t>
        </is>
      </c>
      <c r="H13" s="23" t="inlineStr">
        <is>
          <t>Compra</t>
        </is>
      </c>
      <c r="I13" s="24" t="n">
        <v>0.5</v>
      </c>
      <c r="J13" s="25" t="n">
        <v>1.11563</v>
      </c>
      <c r="K13" s="25" t="n">
        <v>1.11803</v>
      </c>
      <c r="L13" s="25" t="n">
        <v>1.11363</v>
      </c>
      <c r="M13" s="25" t="n">
        <v>1.11963</v>
      </c>
      <c r="N13" s="26" t="n">
        <v>3.5</v>
      </c>
      <c r="O13" s="26" t="n">
        <v>0</v>
      </c>
      <c r="P13" s="27">
        <f>IF(OR(J13="",K13="",I13="",AF13=0,AD13=""),"",(K13-J13)*AF13*I13*AD13*AE13)</f>
        <v>120.00000000000898</v>
      </c>
      <c r="Q13" s="26" t="n"/>
      <c r="R13" s="28">
        <f>IF(Q13&lt;&gt;"",Q13,IF(P13="","",P13-N(N13)+N(O13)))</f>
        <v>116.50000000000898</v>
      </c>
      <c r="S13" s="27">
        <f>IF(OR(L13="",J13="",I13="",AD13=""),"",ABS(J13-L13)*I13*AD13*AE13)</f>
        <v>100.00000000000009</v>
      </c>
      <c r="T13" s="29">
        <f>IF(OR(R13="",S13="",S13=0),"",R13/S13)</f>
        <v>1.1650000000000889</v>
      </c>
      <c r="U13" s="20" t="str">
        <f>IF(R13="","",IF(R13&gt;0,"Ganadora",IF(R13&lt;0,"Perdedora","BE")))</f>
        <v>Ganadora</v>
      </c>
      <c r="V13" s="23" t="inlineStr">
        <is>
          <t>Continuación</t>
        </is>
      </c>
      <c r="W13" s="23" t="inlineStr">
        <is>
          <t>Londres</t>
        </is>
      </c>
      <c r="X13" s="23" t="inlineStr">
        <is>
          <t>Ninguno</t>
        </is>
      </c>
      <c r="Y13" s="23" t="inlineStr">
        <is>
          <t>Tranquilo</t>
        </is>
      </c>
      <c r="Z13" s="23" t="inlineStr">
        <is>
          <t>Sí</t>
        </is>
      </c>
      <c r="AA13" s="23" t="inlineStr">
        <is>
          <t>Parcial en 1R, el resto en objetivo.</t>
        </is>
      </c>
      <c r="AB13" s="30" t="n"/>
      <c r="AC13" s="1" t="n"/>
      <c r="AD13" s="1">
        <f>IF(G13="","",IFERROR(INDEX('Listas'!$N$6:$N$35,MATCH(G13,'Listas'!$M$6:$M$35,0)),""))</f>
        <v>100000</v>
      </c>
      <c r="AE13">
        <f>IF(G13="",1,IFERROR(INDEX('Listas'!$P$6:$P$35,MATCH(G13,'Listas'!$M$6:$M$35,0)),1))</f>
        <v>1</v>
      </c>
      <c r="AF13">
        <f>IF(H13="Compra",1,IF(H13="Venta",-1,0))</f>
        <v>1</v>
      </c>
      <c r="AG13">
        <f>IF(AND(D13&lt;&gt;"",ISNUMBER(R13)),1,0)</f>
        <v>1</v>
      </c>
      <c r="AH13">
        <f>IF(AG13=0,0,IF(OR('Panel'!$D$5="Todas las cuentas",'Panel'!$D$5="",F13='Panel'!$D$5),1,0))</f>
        <v>1</v>
      </c>
      <c r="AI13">
        <f>IF(AH13=0,0,IF(AND(OR('Panel'!$G$5="",D13&gt;='Panel'!$G$5),OR('Panel'!$J$5="",D13&lt;='Panel'!$J$5)),1,0))</f>
        <v>1</v>
      </c>
      <c r="AJ13">
        <f>IF(AI13=1,R13,0)</f>
        <v>116.50000000000898</v>
      </c>
      <c r="AK13">
        <f>IF(AI13=1,'Panel'!$AB$4+SUM($AJ$5:AJ13),"")</f>
        <v>20379.447500000024</v>
      </c>
      <c r="AL13">
        <f>IF(AI13=0,N(AL12),IF(R13&lt;0,N(AL12)+1,0))</f>
        <v>0</v>
      </c>
      <c r="AM13">
        <f>IF(AI13=0,N(AM12),IF(R13&gt;0,N(AM12)+1,0))</f>
        <v>1</v>
      </c>
      <c r="AN13">
        <f>IF(AI13=1,MAX('Panel'!$AB$4,N(AN12),AK13),N(AN12))</f>
        <v>20403.90000000001</v>
      </c>
      <c r="AO13">
        <f>IF(AI13=1,AN13-AK13,0)</f>
        <v>24.452499999984866</v>
      </c>
      <c r="AP13">
        <f>IF(AND(AI13=1,AN13&gt;0),AO13/AN13,0)</f>
        <v>0.0011984228505327343</v>
      </c>
      <c r="AQ13">
        <f>IF(AI13=1,SUM($AI$5:AI13),"")</f>
        <v>9</v>
      </c>
      <c r="AR13">
        <f>IF(AI13=1,IF(COUNTIFS($D$5:D13,D13,$AI$5:AI13,1)=1,SUMIFS($AJ$5:$AJ$504,$D$5:$D$504,D13),""),"")</f>
        <v>116.50000000000898</v>
      </c>
      <c r="AS13">
        <f>IF(AG13=1,WEEKDAY(D13,2),"")</f>
        <v>1</v>
      </c>
      <c r="AT13" s="31">
        <f>IF(AG13=1,DATE(YEAR(D13),MONTH(D13),1),"")</f>
        <v>46266</v>
      </c>
      <c r="AU13">
        <f>IF(AG13=0,0,IF(AND(OR('Prop challenge'!$D$7="",F13='Prop challenge'!$D$7),OR('Prop challenge'!$D$9="",D13&gt;='Prop challenge'!$D$9)),1,0))</f>
        <v>0</v>
      </c>
      <c r="AV13">
        <f>IF(AU13=1,IF(COUNTIFS($D$5:D13,D13,$AU$5:AU13,1)=1,1,0),0)</f>
        <v>0</v>
      </c>
      <c r="AW13" t="str">
        <f>IF(AV13=1,SUM($AV$5:AV13),"")</f>
        <v/>
      </c>
      <c r="AX13" t="str">
        <f>IF(AV13=1,SUMIFS($R$5:$R$504,$D$5:$D$504,D13,$AU$5:$AU$504,1),"")</f>
        <v/>
      </c>
    </row>
    <row r="14">
      <c r="A14" s="20">
        <f>IF(AG14=1,ROW()-4,"")</f>
        <v>10</v>
      </c>
      <c r="B14" s="21" t="n">
        <v>46281</v>
      </c>
      <c r="C14" s="22" t="n">
        <v>0.1458333333333333</v>
      </c>
      <c r="D14" s="21" t="n">
        <v>46281</v>
      </c>
      <c r="E14" s="22" t="n">
        <v>0.1388888888888889</v>
      </c>
      <c r="F14" s="23" t="inlineStr">
        <is>
          <t>Personal</t>
        </is>
      </c>
      <c r="G14" s="23" t="inlineStr">
        <is>
          <t>XAUUSD</t>
        </is>
      </c>
      <c r="H14" s="23" t="inlineStr">
        <is>
          <t>Venta</t>
        </is>
      </c>
      <c r="I14" s="24" t="n">
        <v>0.12</v>
      </c>
      <c r="J14" s="25" t="n">
        <v>3983.38</v>
      </c>
      <c r="K14" s="25" t="n">
        <v>3959.38</v>
      </c>
      <c r="L14" s="25" t="n">
        <v>3991.38</v>
      </c>
      <c r="M14" s="25" t="n">
        <v>3967.38</v>
      </c>
      <c r="N14" s="26" t="n">
        <v>0</v>
      </c>
      <c r="O14" s="26" t="n">
        <v>0</v>
      </c>
      <c r="P14" s="27">
        <f>IF(OR(J14="",K14="",I14="",AF14=0,AD14=""),"",(K14-J14)*AF14*I14*AD14*AE14)</f>
        <v>288</v>
      </c>
      <c r="Q14" s="26" t="n"/>
      <c r="R14" s="28">
        <f>IF(Q14&lt;&gt;"",Q14,IF(P14="","",P14-N(N14)+N(O14)))</f>
        <v>288</v>
      </c>
      <c r="S14" s="27">
        <f>IF(OR(L14="",J14="",I14="",AD14=""),"",ABS(J14-L14)*I14*AD14*AE14)</f>
        <v>96</v>
      </c>
      <c r="T14" s="29">
        <f>IF(OR(R14="",S14="",S14=0),"",R14/S14)</f>
        <v>3</v>
      </c>
      <c r="U14" s="20" t="str">
        <f>IF(R14="","",IF(R14&gt;0,"Ganadora",IF(R14&lt;0,"Perdedora","BE")))</f>
        <v>Ganadora</v>
      </c>
      <c r="V14" s="23" t="inlineStr">
        <is>
          <t>Rebote en rango</t>
        </is>
      </c>
      <c r="W14" s="23" t="inlineStr">
        <is>
          <t>Asia</t>
        </is>
      </c>
      <c r="X14" s="23" t="inlineStr">
        <is>
          <t>Ninguno</t>
        </is>
      </c>
      <c r="Y14" s="23" t="inlineStr">
        <is>
          <t>Tranquilo</t>
        </is>
      </c>
      <c r="Z14" s="23" t="inlineStr">
        <is>
          <t>Sí</t>
        </is>
      </c>
      <c r="AA14" s="23" t="inlineStr">
        <is>
          <t>Un pico de noticias me sacó por stop.</t>
        </is>
      </c>
      <c r="AB14" s="30" t="n"/>
      <c r="AC14" s="1" t="n"/>
      <c r="AD14" s="1">
        <f>IF(G14="","",IFERROR(INDEX('Listas'!$N$6:$N$35,MATCH(G14,'Listas'!$M$6:$M$35,0)),""))</f>
        <v>100</v>
      </c>
      <c r="AE14">
        <f>IF(G14="",1,IFERROR(INDEX('Listas'!$P$6:$P$35,MATCH(G14,'Listas'!$M$6:$M$35,0)),1))</f>
        <v>1</v>
      </c>
      <c r="AF14">
        <f>IF(H14="Compra",1,IF(H14="Venta",-1,0))</f>
        <v>-1</v>
      </c>
      <c r="AG14">
        <f>IF(AND(D14&lt;&gt;"",ISNUMBER(R14)),1,0)</f>
        <v>1</v>
      </c>
      <c r="AH14">
        <f>IF(AG14=0,0,IF(OR('Panel'!$D$5="Todas las cuentas",'Panel'!$D$5="",F14='Panel'!$D$5),1,0))</f>
        <v>1</v>
      </c>
      <c r="AI14">
        <f>IF(AH14=0,0,IF(AND(OR('Panel'!$G$5="",D14&gt;='Panel'!$G$5),OR('Panel'!$J$5="",D14&lt;='Panel'!$J$5)),1,0))</f>
        <v>1</v>
      </c>
      <c r="AJ14">
        <f>IF(AI14=1,R14,0)</f>
        <v>288</v>
      </c>
      <c r="AK14">
        <f>IF(AI14=1,'Panel'!$AB$4+SUM($AJ$5:AJ14),"")</f>
        <v>20667.447500000024</v>
      </c>
      <c r="AL14">
        <f>IF(AI14=0,N(AL13),IF(R14&lt;0,N(AL13)+1,0))</f>
        <v>0</v>
      </c>
      <c r="AM14">
        <f>IF(AI14=0,N(AM13),IF(R14&gt;0,N(AM13)+1,0))</f>
        <v>2</v>
      </c>
      <c r="AN14">
        <f>IF(AI14=1,MAX('Panel'!$AB$4,N(AN13),AK14),N(AN13))</f>
        <v>20667.447500000024</v>
      </c>
      <c r="AO14">
        <f>IF(AI14=1,AN14-AK14,0)</f>
        <v>0</v>
      </c>
      <c r="AP14">
        <f>IF(AND(AI14=1,AN14&gt;0),AO14/AN14,0)</f>
        <v>0</v>
      </c>
      <c r="AQ14">
        <f>IF(AI14=1,SUM($AI$5:AI14),"")</f>
        <v>10</v>
      </c>
      <c r="AR14">
        <f>IF(AI14=1,IF(COUNTIFS($D$5:D14,D14,$AI$5:AI14,1)=1,SUMIFS($AJ$5:$AJ$504,$D$5:$D$504,D14),""),"")</f>
        <v>288</v>
      </c>
      <c r="AS14">
        <f>IF(AG14=1,WEEKDAY(D14,2),"")</f>
        <v>3</v>
      </c>
      <c r="AT14" s="31">
        <f>IF(AG14=1,DATE(YEAR(D14),MONTH(D14),1),"")</f>
        <v>46266</v>
      </c>
      <c r="AU14">
        <f>IF(AG14=0,0,IF(AND(OR('Prop challenge'!$D$7="",F14='Prop challenge'!$D$7),OR('Prop challenge'!$D$9="",D14&gt;='Prop challenge'!$D$9)),1,0))</f>
        <v>0</v>
      </c>
      <c r="AV14">
        <f>IF(AU14=1,IF(COUNTIFS($D$5:D14,D14,$AU$5:AU14,1)=1,1,0),0)</f>
        <v>0</v>
      </c>
      <c r="AW14" t="str">
        <f>IF(AV14=1,SUM($AV$5:AV14),"")</f>
        <v/>
      </c>
      <c r="AX14" t="str">
        <f>IF(AV14=1,SUMIFS($R$5:$R$504,$D$5:$D$504,D14,$AU$5:$AU$504,1),"")</f>
        <v/>
      </c>
    </row>
    <row r="15">
      <c r="A15" s="20">
        <f>IF(AG15=1,ROW()-4,"")</f>
        <v>11</v>
      </c>
      <c r="B15" s="21" t="n">
        <v>46282</v>
      </c>
      <c r="C15" s="22" t="n">
        <v>0.6875</v>
      </c>
      <c r="D15" s="21" t="n">
        <v>46282</v>
      </c>
      <c r="E15" s="22" t="n">
        <v>0.6805555555555556</v>
      </c>
      <c r="F15" s="23" t="inlineStr">
        <is>
          <t>Personal</t>
        </is>
      </c>
      <c r="G15" s="23" t="inlineStr">
        <is>
          <t>GBPUSD</t>
        </is>
      </c>
      <c r="H15" s="23" t="inlineStr">
        <is>
          <t>Venta</t>
        </is>
      </c>
      <c r="I15" s="24" t="n">
        <v>0.4</v>
      </c>
      <c r="J15" s="25" t="n">
        <v>1.3261</v>
      </c>
      <c r="K15" s="25" t="n">
        <v>1.3286</v>
      </c>
      <c r="L15" s="25" t="n">
        <v>1.3286</v>
      </c>
      <c r="M15" s="25" t="n">
        <v>1.3211</v>
      </c>
      <c r="N15" s="26" t="n">
        <v>2.8</v>
      </c>
      <c r="O15" s="26" t="n">
        <v>0</v>
      </c>
      <c r="P15" s="27">
        <f>IF(OR(J15="",K15="",I15="",AF15=0,AD15=""),"",(K15-J15)*AF15*I15*AD15*AE15)</f>
        <v>-99.99999999999788</v>
      </c>
      <c r="Q15" s="26" t="n"/>
      <c r="R15" s="28">
        <f>IF(Q15&lt;&gt;"",Q15,IF(P15="","",P15-N(N15)+N(O15)))</f>
        <v>-102.79999999999788</v>
      </c>
      <c r="S15" s="27">
        <f>IF(OR(L15="",J15="",I15="",AD15=""),"",ABS(J15-L15)*I15*AD15*AE15)</f>
        <v>99.99999999999788</v>
      </c>
      <c r="T15" s="29">
        <f>IF(OR(R15="",S15="",S15=0),"",R15/S15)</f>
        <v>-1.0280000000000005</v>
      </c>
      <c r="U15" s="20" t="str">
        <f>IF(R15="","",IF(R15&gt;0,"Ganadora",IF(R15&lt;0,"Perdedora","BE")))</f>
        <v>Perdedora</v>
      </c>
      <c r="V15" s="23" t="inlineStr">
        <is>
          <t>Continuación</t>
        </is>
      </c>
      <c r="W15" s="23" t="inlineStr">
        <is>
          <t>Nueva York</t>
        </is>
      </c>
      <c r="X15" s="23" t="inlineStr">
        <is>
          <t>Ninguno</t>
        </is>
      </c>
      <c r="Y15" s="23" t="inlineStr">
        <is>
          <t>Dudoso</t>
        </is>
      </c>
      <c r="Z15" s="23" t="inlineStr">
        <is>
          <t>Sí</t>
        </is>
      </c>
      <c r="AA15" s="23" t="inlineStr">
        <is>
          <t>Seguí el plan al pie de la letra.</t>
        </is>
      </c>
      <c r="AB15" s="30" t="n"/>
      <c r="AC15" s="1" t="n"/>
      <c r="AD15" s="1">
        <f>IF(G15="","",IFERROR(INDEX('Listas'!$N$6:$N$35,MATCH(G15,'Listas'!$M$6:$M$35,0)),""))</f>
        <v>100000</v>
      </c>
      <c r="AE15">
        <f>IF(G15="",1,IFERROR(INDEX('Listas'!$P$6:$P$35,MATCH(G15,'Listas'!$M$6:$M$35,0)),1))</f>
        <v>1</v>
      </c>
      <c r="AF15">
        <f>IF(H15="Compra",1,IF(H15="Venta",-1,0))</f>
        <v>-1</v>
      </c>
      <c r="AG15">
        <f>IF(AND(D15&lt;&gt;"",ISNUMBER(R15)),1,0)</f>
        <v>1</v>
      </c>
      <c r="AH15">
        <f>IF(AG15=0,0,IF(OR('Panel'!$D$5="Todas las cuentas",'Panel'!$D$5="",F15='Panel'!$D$5),1,0))</f>
        <v>1</v>
      </c>
      <c r="AI15">
        <f>IF(AH15=0,0,IF(AND(OR('Panel'!$G$5="",D15&gt;='Panel'!$G$5),OR('Panel'!$J$5="",D15&lt;='Panel'!$J$5)),1,0))</f>
        <v>1</v>
      </c>
      <c r="AJ15">
        <f>IF(AI15=1,R15,0)</f>
        <v>-102.79999999999788</v>
      </c>
      <c r="AK15">
        <f>IF(AI15=1,'Panel'!$AB$4+SUM($AJ$5:AJ15),"")</f>
        <v>20564.64750000003</v>
      </c>
      <c r="AL15">
        <f>IF(AI15=0,N(AL14),IF(R15&lt;0,N(AL14)+1,0))</f>
        <v>1</v>
      </c>
      <c r="AM15">
        <f>IF(AI15=0,N(AM14),IF(R15&gt;0,N(AM14)+1,0))</f>
        <v>0</v>
      </c>
      <c r="AN15">
        <f>IF(AI15=1,MAX('Panel'!$AB$4,N(AN14),AK15),N(AN14))</f>
        <v>20667.447500000024</v>
      </c>
      <c r="AO15">
        <f>IF(AI15=1,AN15-AK15,0)</f>
        <v>102.79999999999563</v>
      </c>
      <c r="AP15">
        <f>IF(AND(AI15=1,AN15&gt;0),AO15/AN15,0)</f>
        <v>0.00497400561922296</v>
      </c>
      <c r="AQ15">
        <f>IF(AI15=1,SUM($AI$5:AI15),"")</f>
        <v>11</v>
      </c>
      <c r="AR15">
        <f>IF(AI15=1,IF(COUNTIFS($D$5:D15,D15,$AI$5:AI15,1)=1,SUMIFS($AJ$5:$AJ$504,$D$5:$D$504,D15),""),"")</f>
        <v>-102.79999999999788</v>
      </c>
      <c r="AS15">
        <f>IF(AG15=1,WEEKDAY(D15,2),"")</f>
        <v>4</v>
      </c>
      <c r="AT15" s="31">
        <f>IF(AG15=1,DATE(YEAR(D15),MONTH(D15),1),"")</f>
        <v>46266</v>
      </c>
      <c r="AU15">
        <f>IF(AG15=0,0,IF(AND(OR('Prop challenge'!$D$7="",F15='Prop challenge'!$D$7),OR('Prop challenge'!$D$9="",D15&gt;='Prop challenge'!$D$9)),1,0))</f>
        <v>0</v>
      </c>
      <c r="AV15">
        <f>IF(AU15=1,IF(COUNTIFS($D$5:D15,D15,$AU$5:AU15,1)=1,1,0),0)</f>
        <v>0</v>
      </c>
      <c r="AW15" t="str">
        <f>IF(AV15=1,SUM($AV$5:AV15),"")</f>
        <v/>
      </c>
      <c r="AX15" t="str">
        <f>IF(AV15=1,SUMIFS($R$5:$R$504,$D$5:$D$504,D15,$AU$5:$AU$504,1),"")</f>
        <v/>
      </c>
    </row>
    <row r="16">
      <c r="A16" s="20">
        <f>IF(AG16=1,ROW()-4,"")</f>
        <v>12</v>
      </c>
      <c r="B16" s="21" t="n">
        <v>46286</v>
      </c>
      <c r="C16" s="22" t="n">
        <v>0.3958333333333333</v>
      </c>
      <c r="D16" s="21" t="n">
        <v>46286</v>
      </c>
      <c r="E16" s="22" t="n">
        <v>0.4305555555555556</v>
      </c>
      <c r="F16" s="23" t="inlineStr">
        <is>
          <t>Personal</t>
        </is>
      </c>
      <c r="G16" s="23" t="inlineStr">
        <is>
          <t>NAS100</t>
        </is>
      </c>
      <c r="H16" s="23" t="inlineStr">
        <is>
          <t>Venta</t>
        </is>
      </c>
      <c r="I16" s="24" t="n">
        <v>1.5</v>
      </c>
      <c r="J16" s="25" t="n">
        <v>25504.8</v>
      </c>
      <c r="K16" s="25" t="n">
        <v>25396.8</v>
      </c>
      <c r="L16" s="25" t="n">
        <v>25564.8</v>
      </c>
      <c r="M16" s="25" t="n">
        <v>25384.8</v>
      </c>
      <c r="N16" s="26" t="n">
        <v>0</v>
      </c>
      <c r="O16" s="26" t="n">
        <v>0</v>
      </c>
      <c r="P16" s="27">
        <f>IF(OR(J16="",K16="",I16="",AF16=0,AD16=""),"",(K16-J16)*AF16*I16*AD16*AE16)</f>
        <v>162</v>
      </c>
      <c r="Q16" s="26" t="n"/>
      <c r="R16" s="28">
        <f>IF(Q16&lt;&gt;"",Q16,IF(P16="","",P16-N(N16)+N(O16)))</f>
        <v>162</v>
      </c>
      <c r="S16" s="27">
        <f>IF(OR(L16="",J16="",I16="",AD16=""),"",ABS(J16-L16)*I16*AD16*AE16)</f>
        <v>90</v>
      </c>
      <c r="T16" s="29">
        <f>IF(OR(R16="",S16="",S16=0),"",R16/S16)</f>
        <v>1.8</v>
      </c>
      <c r="U16" s="20" t="str">
        <f>IF(R16="","",IF(R16&gt;0,"Ganadora",IF(R16&lt;0,"Perdedora","BE")))</f>
        <v>Ganadora</v>
      </c>
      <c r="V16" s="23" t="inlineStr">
        <is>
          <t>Ruptura</t>
        </is>
      </c>
      <c r="W16" s="23" t="inlineStr">
        <is>
          <t>Londres</t>
        </is>
      </c>
      <c r="X16" s="23" t="inlineStr">
        <is>
          <t>Ninguno</t>
        </is>
      </c>
      <c r="Y16" s="23" t="inlineStr">
        <is>
          <t>Tranquilo</t>
        </is>
      </c>
      <c r="Z16" s="23" t="inlineStr">
        <is>
          <t>Sí</t>
        </is>
      </c>
      <c r="AA16" s="23" t="inlineStr">
        <is>
          <t>Debí no operar: poco volumen.</t>
        </is>
      </c>
      <c r="AB16" s="30" t="n"/>
      <c r="AC16" s="1" t="n"/>
      <c r="AD16" s="1">
        <f>IF(G16="","",IFERROR(INDEX('Listas'!$N$6:$N$35,MATCH(G16,'Listas'!$M$6:$M$35,0)),""))</f>
        <v>1</v>
      </c>
      <c r="AE16">
        <f>IF(G16="",1,IFERROR(INDEX('Listas'!$P$6:$P$35,MATCH(G16,'Listas'!$M$6:$M$35,0)),1))</f>
        <v>1</v>
      </c>
      <c r="AF16">
        <f>IF(H16="Compra",1,IF(H16="Venta",-1,0))</f>
        <v>-1</v>
      </c>
      <c r="AG16">
        <f>IF(AND(D16&lt;&gt;"",ISNUMBER(R16)),1,0)</f>
        <v>1</v>
      </c>
      <c r="AH16">
        <f>IF(AG16=0,0,IF(OR('Panel'!$D$5="Todas las cuentas",'Panel'!$D$5="",F16='Panel'!$D$5),1,0))</f>
        <v>1</v>
      </c>
      <c r="AI16">
        <f>IF(AH16=0,0,IF(AND(OR('Panel'!$G$5="",D16&gt;='Panel'!$G$5),OR('Panel'!$J$5="",D16&lt;='Panel'!$J$5)),1,0))</f>
        <v>1</v>
      </c>
      <c r="AJ16">
        <f>IF(AI16=1,R16,0)</f>
        <v>162</v>
      </c>
      <c r="AK16">
        <f>IF(AI16=1,'Panel'!$AB$4+SUM($AJ$5:AJ16),"")</f>
        <v>20726.64750000003</v>
      </c>
      <c r="AL16">
        <f>IF(AI16=0,N(AL15),IF(R16&lt;0,N(AL15)+1,0))</f>
        <v>0</v>
      </c>
      <c r="AM16">
        <f>IF(AI16=0,N(AM15),IF(R16&gt;0,N(AM15)+1,0))</f>
        <v>1</v>
      </c>
      <c r="AN16">
        <f>IF(AI16=1,MAX('Panel'!$AB$4,N(AN15),AK16),N(AN15))</f>
        <v>20726.64750000003</v>
      </c>
      <c r="AO16">
        <f>IF(AI16=1,AN16-AK16,0)</f>
        <v>0</v>
      </c>
      <c r="AP16">
        <f>IF(AND(AI16=1,AN16&gt;0),AO16/AN16,0)</f>
        <v>0</v>
      </c>
      <c r="AQ16">
        <f>IF(AI16=1,SUM($AI$5:AI16),"")</f>
        <v>12</v>
      </c>
      <c r="AR16">
        <f>IF(AI16=1,IF(COUNTIFS($D$5:D16,D16,$AI$5:AI16,1)=1,SUMIFS($AJ$5:$AJ$504,$D$5:$D$504,D16),""),"")</f>
        <v>162</v>
      </c>
      <c r="AS16">
        <f>IF(AG16=1,WEEKDAY(D16,2),"")</f>
        <v>1</v>
      </c>
      <c r="AT16" s="31">
        <f>IF(AG16=1,DATE(YEAR(D16),MONTH(D16),1),"")</f>
        <v>46266</v>
      </c>
      <c r="AU16">
        <f>IF(AG16=0,0,IF(AND(OR('Prop challenge'!$D$7="",F16='Prop challenge'!$D$7),OR('Prop challenge'!$D$9="",D16&gt;='Prop challenge'!$D$9)),1,0))</f>
        <v>0</v>
      </c>
      <c r="AV16">
        <f>IF(AU16=1,IF(COUNTIFS($D$5:D16,D16,$AU$5:AU16,1)=1,1,0),0)</f>
        <v>0</v>
      </c>
      <c r="AW16" t="str">
        <f>IF(AV16=1,SUM($AV$5:AV16),"")</f>
        <v/>
      </c>
      <c r="AX16" t="str">
        <f>IF(AV16=1,SUMIFS($R$5:$R$504,$D$5:$D$504,D16,$AU$5:$AU$504,1),"")</f>
        <v/>
      </c>
    </row>
    <row r="17">
      <c r="A17" s="20">
        <f>IF(AG17=1,ROW()-4,"")</f>
        <v>13</v>
      </c>
      <c r="B17" s="21" t="n">
        <v>46287</v>
      </c>
      <c r="C17" s="22" t="n">
        <v>0.6979166666666666</v>
      </c>
      <c r="D17" s="21" t="n">
        <v>46287</v>
      </c>
      <c r="E17" s="22" t="n">
        <v>0.7361111111111112</v>
      </c>
      <c r="F17" s="23" t="inlineStr">
        <is>
          <t>Personal</t>
        </is>
      </c>
      <c r="G17" s="23" t="inlineStr">
        <is>
          <t>GBPUSD</t>
        </is>
      </c>
      <c r="H17" s="23" t="inlineStr">
        <is>
          <t>Compra</t>
        </is>
      </c>
      <c r="I17" s="24" t="n">
        <v>0.4</v>
      </c>
      <c r="J17" s="25" t="n">
        <v>1.31603</v>
      </c>
      <c r="K17" s="25" t="n">
        <v>1.31353</v>
      </c>
      <c r="L17" s="25" t="n">
        <v>1.31353</v>
      </c>
      <c r="M17" s="25" t="n">
        <v>1.32103</v>
      </c>
      <c r="N17" s="26" t="n">
        <v>2.8</v>
      </c>
      <c r="O17" s="26" t="n">
        <v>0</v>
      </c>
      <c r="P17" s="27">
        <f>IF(OR(J17="",K17="",I17="",AF17=0,AD17=""),"",(K17-J17)*AF17*I17*AD17*AE17)</f>
        <v>-99.99999999999788</v>
      </c>
      <c r="Q17" s="26" t="n"/>
      <c r="R17" s="28">
        <f>IF(Q17&lt;&gt;"",Q17,IF(P17="","",P17-N(N17)+N(O17)))</f>
        <v>-102.79999999999788</v>
      </c>
      <c r="S17" s="27">
        <f>IF(OR(L17="",J17="",I17="",AD17=""),"",ABS(J17-L17)*I17*AD17*AE17)</f>
        <v>99.99999999999788</v>
      </c>
      <c r="T17" s="29">
        <f>IF(OR(R17="",S17="",S17=0),"",R17/S17)</f>
        <v>-1.0280000000000005</v>
      </c>
      <c r="U17" s="20" t="str">
        <f>IF(R17="","",IF(R17&gt;0,"Ganadora",IF(R17&lt;0,"Perdedora","BE")))</f>
        <v>Perdedora</v>
      </c>
      <c r="V17" s="23" t="inlineStr">
        <is>
          <t>Rebote en rango</t>
        </is>
      </c>
      <c r="W17" s="23" t="inlineStr">
        <is>
          <t>Nueva York</t>
        </is>
      </c>
      <c r="X17" s="23" t="inlineStr">
        <is>
          <t>Ninguno</t>
        </is>
      </c>
      <c r="Y17" s="23" t="inlineStr">
        <is>
          <t>FOMO</t>
        </is>
      </c>
      <c r="Z17" s="23" t="inlineStr">
        <is>
          <t>Sí</t>
        </is>
      </c>
      <c r="AA17" s="23" t="inlineStr">
        <is>
          <t>Esperé el retest, entrada limpia.</t>
        </is>
      </c>
      <c r="AB17" s="30" t="n"/>
      <c r="AC17" s="1" t="n"/>
      <c r="AD17" s="1">
        <f>IF(G17="","",IFERROR(INDEX('Listas'!$N$6:$N$35,MATCH(G17,'Listas'!$M$6:$M$35,0)),""))</f>
        <v>100000</v>
      </c>
      <c r="AE17">
        <f>IF(G17="",1,IFERROR(INDEX('Listas'!$P$6:$P$35,MATCH(G17,'Listas'!$M$6:$M$35,0)),1))</f>
        <v>1</v>
      </c>
      <c r="AF17">
        <f>IF(H17="Compra",1,IF(H17="Venta",-1,0))</f>
        <v>1</v>
      </c>
      <c r="AG17">
        <f>IF(AND(D17&lt;&gt;"",ISNUMBER(R17)),1,0)</f>
        <v>1</v>
      </c>
      <c r="AH17">
        <f>IF(AG17=0,0,IF(OR('Panel'!$D$5="Todas las cuentas",'Panel'!$D$5="",F17='Panel'!$D$5),1,0))</f>
        <v>1</v>
      </c>
      <c r="AI17">
        <f>IF(AH17=0,0,IF(AND(OR('Panel'!$G$5="",D17&gt;='Panel'!$G$5),OR('Panel'!$J$5="",D17&lt;='Panel'!$J$5)),1,0))</f>
        <v>1</v>
      </c>
      <c r="AJ17">
        <f>IF(AI17=1,R17,0)</f>
        <v>-102.79999999999788</v>
      </c>
      <c r="AK17">
        <f>IF(AI17=1,'Panel'!$AB$4+SUM($AJ$5:AJ17),"")</f>
        <v>20623.84750000003</v>
      </c>
      <c r="AL17">
        <f>IF(AI17=0,N(AL16),IF(R17&lt;0,N(AL16)+1,0))</f>
        <v>1</v>
      </c>
      <c r="AM17">
        <f>IF(AI17=0,N(AM16),IF(R17&gt;0,N(AM16)+1,0))</f>
        <v>0</v>
      </c>
      <c r="AN17">
        <f>IF(AI17=1,MAX('Panel'!$AB$4,N(AN16),AK17),N(AN16))</f>
        <v>20726.64750000003</v>
      </c>
      <c r="AO17">
        <f>IF(AI17=1,AN17-AK17,0)</f>
        <v>102.79999999999927</v>
      </c>
      <c r="AP17">
        <f>IF(AND(AI17=1,AN17&gt;0),AO17/AN17,0)</f>
        <v>0.004959798732525322</v>
      </c>
      <c r="AQ17">
        <f>IF(AI17=1,SUM($AI$5:AI17),"")</f>
        <v>13</v>
      </c>
      <c r="AR17">
        <f>IF(AI17=1,IF(COUNTIFS($D$5:D17,D17,$AI$5:AI17,1)=1,SUMIFS($AJ$5:$AJ$504,$D$5:$D$504,D17),""),"")</f>
        <v>-102.79999999999788</v>
      </c>
      <c r="AS17">
        <f>IF(AG17=1,WEEKDAY(D17,2),"")</f>
        <v>2</v>
      </c>
      <c r="AT17" s="31">
        <f>IF(AG17=1,DATE(YEAR(D17),MONTH(D17),1),"")</f>
        <v>46266</v>
      </c>
      <c r="AU17">
        <f>IF(AG17=0,0,IF(AND(OR('Prop challenge'!$D$7="",F17='Prop challenge'!$D$7),OR('Prop challenge'!$D$9="",D17&gt;='Prop challenge'!$D$9)),1,0))</f>
        <v>0</v>
      </c>
      <c r="AV17">
        <f>IF(AU17=1,IF(COUNTIFS($D$5:D17,D17,$AU$5:AU17,1)=1,1,0),0)</f>
        <v>0</v>
      </c>
      <c r="AW17" t="str">
        <f>IF(AV17=1,SUM($AV$5:AV17),"")</f>
        <v/>
      </c>
      <c r="AX17" t="str">
        <f>IF(AV17=1,SUMIFS($R$5:$R$504,$D$5:$D$504,D17,$AU$5:$AU$504,1),"")</f>
        <v/>
      </c>
    </row>
    <row r="18">
      <c r="A18" s="20">
        <f>IF(AG18=1,ROW()-4,"")</f>
        <v>14</v>
      </c>
      <c r="B18" s="21" t="n">
        <v>46288</v>
      </c>
      <c r="C18" s="22" t="n">
        <v>0.65625</v>
      </c>
      <c r="D18" s="21" t="n">
        <v>46288</v>
      </c>
      <c r="E18" s="22" t="n">
        <v>0.6631944444444444</v>
      </c>
      <c r="F18" s="23" t="inlineStr">
        <is>
          <t>Personal</t>
        </is>
      </c>
      <c r="G18" s="23" t="inlineStr">
        <is>
          <t>NAS100</t>
        </is>
      </c>
      <c r="H18" s="23" t="inlineStr">
        <is>
          <t>Venta</t>
        </is>
      </c>
      <c r="I18" s="24" t="n">
        <v>1.5</v>
      </c>
      <c r="J18" s="25" t="n">
        <v>25630.2</v>
      </c>
      <c r="K18" s="25" t="n">
        <v>25690.2</v>
      </c>
      <c r="L18" s="25" t="n">
        <v>25690.2</v>
      </c>
      <c r="M18" s="25" t="n">
        <v>25510.2</v>
      </c>
      <c r="N18" s="26" t="n">
        <v>0</v>
      </c>
      <c r="O18" s="26" t="n">
        <v>0</v>
      </c>
      <c r="P18" s="27">
        <f>IF(OR(J18="",K18="",I18="",AF18=0,AD18=""),"",(K18-J18)*AF18*I18*AD18*AE18)</f>
        <v>-90</v>
      </c>
      <c r="Q18" s="26" t="n"/>
      <c r="R18" s="28">
        <f>IF(Q18&lt;&gt;"",Q18,IF(P18="","",P18-N(N18)+N(O18)))</f>
        <v>-90</v>
      </c>
      <c r="S18" s="27">
        <f>IF(OR(L18="",J18="",I18="",AD18=""),"",ABS(J18-L18)*I18*AD18*AE18)</f>
        <v>90</v>
      </c>
      <c r="T18" s="29">
        <f>IF(OR(R18="",S18="",S18=0),"",R18/S18)</f>
        <v>-1</v>
      </c>
      <c r="U18" s="20" t="str">
        <f>IF(R18="","",IF(R18&gt;0,"Ganadora",IF(R18&lt;0,"Perdedora","BE")))</f>
        <v>Perdedora</v>
      </c>
      <c r="V18" s="23" t="inlineStr">
        <is>
          <t>Continuación</t>
        </is>
      </c>
      <c r="W18" s="23" t="inlineStr">
        <is>
          <t>Solape Londres–NY</t>
        </is>
      </c>
      <c r="X18" s="23" t="inlineStr">
        <is>
          <t>Ninguno</t>
        </is>
      </c>
      <c r="Y18" s="23" t="inlineStr">
        <is>
          <t>FOMO</t>
        </is>
      </c>
      <c r="Z18" s="23" t="inlineStr">
        <is>
          <t>Sí</t>
        </is>
      </c>
      <c r="AA18" s="23" t="inlineStr">
        <is>
          <t>Entré antes de la confirmación.</t>
        </is>
      </c>
      <c r="AB18" s="30" t="n"/>
      <c r="AC18" s="1" t="n"/>
      <c r="AD18" s="1">
        <f>IF(G18="","",IFERROR(INDEX('Listas'!$N$6:$N$35,MATCH(G18,'Listas'!$M$6:$M$35,0)),""))</f>
        <v>1</v>
      </c>
      <c r="AE18">
        <f>IF(G18="",1,IFERROR(INDEX('Listas'!$P$6:$P$35,MATCH(G18,'Listas'!$M$6:$M$35,0)),1))</f>
        <v>1</v>
      </c>
      <c r="AF18">
        <f>IF(H18="Compra",1,IF(H18="Venta",-1,0))</f>
        <v>-1</v>
      </c>
      <c r="AG18">
        <f>IF(AND(D18&lt;&gt;"",ISNUMBER(R18)),1,0)</f>
        <v>1</v>
      </c>
      <c r="AH18">
        <f>IF(AG18=0,0,IF(OR('Panel'!$D$5="Todas las cuentas",'Panel'!$D$5="",F18='Panel'!$D$5),1,0))</f>
        <v>1</v>
      </c>
      <c r="AI18">
        <f>IF(AH18=0,0,IF(AND(OR('Panel'!$G$5="",D18&gt;='Panel'!$G$5),OR('Panel'!$J$5="",D18&lt;='Panel'!$J$5)),1,0))</f>
        <v>1</v>
      </c>
      <c r="AJ18">
        <f>IF(AI18=1,R18,0)</f>
        <v>-90</v>
      </c>
      <c r="AK18">
        <f>IF(AI18=1,'Panel'!$AB$4+SUM($AJ$5:AJ18),"")</f>
        <v>20533.84750000003</v>
      </c>
      <c r="AL18">
        <f>IF(AI18=0,N(AL17),IF(R18&lt;0,N(AL17)+1,0))</f>
        <v>2</v>
      </c>
      <c r="AM18">
        <f>IF(AI18=0,N(AM17),IF(R18&gt;0,N(AM17)+1,0))</f>
        <v>0</v>
      </c>
      <c r="AN18">
        <f>IF(AI18=1,MAX('Panel'!$AB$4,N(AN17),AK18),N(AN17))</f>
        <v>20726.64750000003</v>
      </c>
      <c r="AO18">
        <f>IF(AI18=1,AN18-AK18,0)</f>
        <v>192.79999999999927</v>
      </c>
      <c r="AP18">
        <f>IF(AND(AI18=1,AN18&gt;0),AO18/AN18,0)</f>
        <v>0.009302034976954136</v>
      </c>
      <c r="AQ18">
        <f>IF(AI18=1,SUM($AI$5:AI18),"")</f>
        <v>14</v>
      </c>
      <c r="AR18">
        <f>IF(AI18=1,IF(COUNTIFS($D$5:D18,D18,$AI$5:AI18,1)=1,SUMIFS($AJ$5:$AJ$504,$D$5:$D$504,D18),""),"")</f>
        <v>-90</v>
      </c>
      <c r="AS18">
        <f>IF(AG18=1,WEEKDAY(D18,2),"")</f>
        <v>3</v>
      </c>
      <c r="AT18" s="31">
        <f>IF(AG18=1,DATE(YEAR(D18),MONTH(D18),1),"")</f>
        <v>46266</v>
      </c>
      <c r="AU18">
        <f>IF(AG18=0,0,IF(AND(OR('Prop challenge'!$D$7="",F18='Prop challenge'!$D$7),OR('Prop challenge'!$D$9="",D18&gt;='Prop challenge'!$D$9)),1,0))</f>
        <v>0</v>
      </c>
      <c r="AV18">
        <f>IF(AU18=1,IF(COUNTIFS($D$5:D18,D18,$AU$5:AU18,1)=1,1,0),0)</f>
        <v>0</v>
      </c>
      <c r="AW18" t="str">
        <f>IF(AV18=1,SUM($AV$5:AV18),"")</f>
        <v/>
      </c>
      <c r="AX18" t="str">
        <f>IF(AV18=1,SUMIFS($R$5:$R$504,$D$5:$D$504,D18,$AU$5:$AU$504,1),"")</f>
        <v/>
      </c>
    </row>
    <row r="19">
      <c r="A19" s="20">
        <f>IF(AG19=1,ROW()-4,"")</f>
        <v>15</v>
      </c>
      <c r="B19" s="21" t="n">
        <v>46289</v>
      </c>
      <c r="C19" s="22" t="n">
        <v>0.1284722222222222</v>
      </c>
      <c r="D19" s="21" t="n">
        <v>46289</v>
      </c>
      <c r="E19" s="22" t="n">
        <v>0.2638888888888889</v>
      </c>
      <c r="F19" s="23" t="inlineStr">
        <is>
          <t>Personal</t>
        </is>
      </c>
      <c r="G19" s="23" t="inlineStr">
        <is>
          <t>US30</t>
        </is>
      </c>
      <c r="H19" s="23" t="inlineStr">
        <is>
          <t>Venta</t>
        </is>
      </c>
      <c r="I19" s="24" t="n">
        <v>0.8</v>
      </c>
      <c r="J19" s="25" t="n">
        <v>46390.3</v>
      </c>
      <c r="K19" s="25" t="n">
        <v>46126.3</v>
      </c>
      <c r="L19" s="25" t="n">
        <v>46510.3</v>
      </c>
      <c r="M19" s="25" t="n">
        <v>46150.3</v>
      </c>
      <c r="N19" s="26" t="n">
        <v>0</v>
      </c>
      <c r="O19" s="26" t="n">
        <v>0</v>
      </c>
      <c r="P19" s="27">
        <f>IF(OR(J19="",K19="",I19="",AF19=0,AD19=""),"",(K19-J19)*AF19*I19*AD19*AE19)</f>
        <v>211.20000000000002</v>
      </c>
      <c r="Q19" s="26" t="n"/>
      <c r="R19" s="28">
        <f>IF(Q19&lt;&gt;"",Q19,IF(P19="","",P19-N(N19)+N(O19)))</f>
        <v>211.20000000000002</v>
      </c>
      <c r="S19" s="27">
        <f>IF(OR(L19="",J19="",I19="",AD19=""),"",ABS(J19-L19)*I19*AD19*AE19)</f>
        <v>96</v>
      </c>
      <c r="T19" s="29">
        <f>IF(OR(R19="",S19="",S19=0),"",R19/S19)</f>
        <v>2.2</v>
      </c>
      <c r="U19" s="20" t="str">
        <f>IF(R19="","",IF(R19&gt;0,"Ganadora",IF(R19&lt;0,"Perdedora","BE")))</f>
        <v>Ganadora</v>
      </c>
      <c r="V19" s="23" t="inlineStr">
        <is>
          <t>Ruptura</t>
        </is>
      </c>
      <c r="W19" s="23" t="inlineStr">
        <is>
          <t>Asia</t>
        </is>
      </c>
      <c r="X19" s="23" t="inlineStr">
        <is>
          <t>Ninguno</t>
        </is>
      </c>
      <c r="Y19" s="23" t="inlineStr">
        <is>
          <t>Tranquilo</t>
        </is>
      </c>
      <c r="Z19" s="23" t="inlineStr">
        <is>
          <t>Sí</t>
        </is>
      </c>
      <c r="AA19" s="23" t="inlineStr">
        <is>
          <t>Parcial en 1R, el resto en objetivo.</t>
        </is>
      </c>
      <c r="AB19" s="30" t="n"/>
      <c r="AC19" s="1" t="n"/>
      <c r="AD19" s="1">
        <f>IF(G19="","",IFERROR(INDEX('Listas'!$N$6:$N$35,MATCH(G19,'Listas'!$M$6:$M$35,0)),""))</f>
        <v>1</v>
      </c>
      <c r="AE19">
        <f>IF(G19="",1,IFERROR(INDEX('Listas'!$P$6:$P$35,MATCH(G19,'Listas'!$M$6:$M$35,0)),1))</f>
        <v>1</v>
      </c>
      <c r="AF19">
        <f>IF(H19="Compra",1,IF(H19="Venta",-1,0))</f>
        <v>-1</v>
      </c>
      <c r="AG19">
        <f>IF(AND(D19&lt;&gt;"",ISNUMBER(R19)),1,0)</f>
        <v>1</v>
      </c>
      <c r="AH19">
        <f>IF(AG19=0,0,IF(OR('Panel'!$D$5="Todas las cuentas",'Panel'!$D$5="",F19='Panel'!$D$5),1,0))</f>
        <v>1</v>
      </c>
      <c r="AI19">
        <f>IF(AH19=0,0,IF(AND(OR('Panel'!$G$5="",D19&gt;='Panel'!$G$5),OR('Panel'!$J$5="",D19&lt;='Panel'!$J$5)),1,0))</f>
        <v>1</v>
      </c>
      <c r="AJ19">
        <f>IF(AI19=1,R19,0)</f>
        <v>211.20000000000002</v>
      </c>
      <c r="AK19">
        <f>IF(AI19=1,'Panel'!$AB$4+SUM($AJ$5:AJ19),"")</f>
        <v>20745.04750000003</v>
      </c>
      <c r="AL19">
        <f>IF(AI19=0,N(AL18),IF(R19&lt;0,N(AL18)+1,0))</f>
        <v>0</v>
      </c>
      <c r="AM19">
        <f>IF(AI19=0,N(AM18),IF(R19&gt;0,N(AM18)+1,0))</f>
        <v>1</v>
      </c>
      <c r="AN19">
        <f>IF(AI19=1,MAX('Panel'!$AB$4,N(AN18),AK19),N(AN18))</f>
        <v>20745.04750000003</v>
      </c>
      <c r="AO19">
        <f>IF(AI19=1,AN19-AK19,0)</f>
        <v>0</v>
      </c>
      <c r="AP19">
        <f>IF(AND(AI19=1,AN19&gt;0),AO19/AN19,0)</f>
        <v>0</v>
      </c>
      <c r="AQ19">
        <f>IF(AI19=1,SUM($AI$5:AI19),"")</f>
        <v>15</v>
      </c>
      <c r="AR19">
        <f>IF(AI19=1,IF(COUNTIFS($D$5:D19,D19,$AI$5:AI19,1)=1,SUMIFS($AJ$5:$AJ$504,$D$5:$D$504,D19),""),"")</f>
        <v>211.20000000000002</v>
      </c>
      <c r="AS19">
        <f>IF(AG19=1,WEEKDAY(D19,2),"")</f>
        <v>4</v>
      </c>
      <c r="AT19" s="31">
        <f>IF(AG19=1,DATE(YEAR(D19),MONTH(D19),1),"")</f>
        <v>46266</v>
      </c>
      <c r="AU19">
        <f>IF(AG19=0,0,IF(AND(OR('Prop challenge'!$D$7="",F19='Prop challenge'!$D$7),OR('Prop challenge'!$D$9="",D19&gt;='Prop challenge'!$D$9)),1,0))</f>
        <v>0</v>
      </c>
      <c r="AV19">
        <f>IF(AU19=1,IF(COUNTIFS($D$5:D19,D19,$AU$5:AU19,1)=1,1,0),0)</f>
        <v>0</v>
      </c>
      <c r="AW19" t="str">
        <f>IF(AV19=1,SUM($AV$5:AV19),"")</f>
        <v/>
      </c>
      <c r="AX19" t="str">
        <f>IF(AV19=1,SUMIFS($R$5:$R$504,$D$5:$D$504,D19,$AU$5:$AU$504,1),"")</f>
        <v/>
      </c>
    </row>
    <row r="20">
      <c r="A20" s="20">
        <f>IF(AG20=1,ROW()-4,"")</f>
        <v>16</v>
      </c>
      <c r="B20" s="21" t="n">
        <v>46290</v>
      </c>
      <c r="C20" s="22" t="n">
        <v>0.3645833333333333</v>
      </c>
      <c r="D20" s="21" t="n">
        <v>46290</v>
      </c>
      <c r="E20" s="22" t="n">
        <v>0.3611111111111111</v>
      </c>
      <c r="F20" s="23" t="inlineStr">
        <is>
          <t>Personal</t>
        </is>
      </c>
      <c r="G20" s="23" t="inlineStr">
        <is>
          <t>EURUSD</t>
        </is>
      </c>
      <c r="H20" s="23" t="inlineStr">
        <is>
          <t>Compra</t>
        </is>
      </c>
      <c r="I20" s="24" t="n">
        <v>0.5</v>
      </c>
      <c r="J20" s="25" t="n">
        <v>1.0994</v>
      </c>
      <c r="K20" s="25" t="n">
        <v>1.101</v>
      </c>
      <c r="L20" s="25" t="n">
        <v>1.0974</v>
      </c>
      <c r="M20" s="25" t="n">
        <v>1.1034</v>
      </c>
      <c r="N20" s="26" t="n">
        <v>3.5</v>
      </c>
      <c r="O20" s="26" t="n">
        <v>0</v>
      </c>
      <c r="P20" s="27">
        <f>IF(OR(J20="",K20="",I20="",AF20=0,AD20=""),"",(K20-J20)*AF20*I20*AD20*AE20)</f>
        <v>80.00000000000229</v>
      </c>
      <c r="Q20" s="26" t="n"/>
      <c r="R20" s="28">
        <f>IF(Q20&lt;&gt;"",Q20,IF(P20="","",P20-N(N20)+N(O20)))</f>
        <v>76.50000000000229</v>
      </c>
      <c r="S20" s="27">
        <f>IF(OR(L20="",J20="",I20="",AD20=""),"",ABS(J20-L20)*I20*AD20*AE20)</f>
        <v>100.00000000000009</v>
      </c>
      <c r="T20" s="29">
        <f>IF(OR(R20="",S20="",S20=0),"",R20/S20)</f>
        <v>0.7650000000000222</v>
      </c>
      <c r="U20" s="20" t="str">
        <f>IF(R20="","",IF(R20&gt;0,"Ganadora",IF(R20&lt;0,"Perdedora","BE")))</f>
        <v>Ganadora</v>
      </c>
      <c r="V20" s="23" t="inlineStr">
        <is>
          <t>Ruptura</t>
        </is>
      </c>
      <c r="W20" s="23" t="inlineStr">
        <is>
          <t>Londres</t>
        </is>
      </c>
      <c r="X20" s="23" t="inlineStr">
        <is>
          <t>Ninguno</t>
        </is>
      </c>
      <c r="Y20" s="23" t="inlineStr">
        <is>
          <t>Tranquilo</t>
        </is>
      </c>
      <c r="Z20" s="23" t="inlineStr">
        <is>
          <t>Sí</t>
        </is>
      </c>
      <c r="AA20" s="23" t="inlineStr">
        <is>
          <t>Un pico de noticias me sacó por stop.</t>
        </is>
      </c>
      <c r="AB20" s="30" t="n"/>
      <c r="AC20" s="1" t="n"/>
      <c r="AD20" s="1">
        <f>IF(G20="","",IFERROR(INDEX('Listas'!$N$6:$N$35,MATCH(G20,'Listas'!$M$6:$M$35,0)),""))</f>
        <v>100000</v>
      </c>
      <c r="AE20">
        <f>IF(G20="",1,IFERROR(INDEX('Listas'!$P$6:$P$35,MATCH(G20,'Listas'!$M$6:$M$35,0)),1))</f>
        <v>1</v>
      </c>
      <c r="AF20">
        <f>IF(H20="Compra",1,IF(H20="Venta",-1,0))</f>
        <v>1</v>
      </c>
      <c r="AG20">
        <f>IF(AND(D20&lt;&gt;"",ISNUMBER(R20)),1,0)</f>
        <v>1</v>
      </c>
      <c r="AH20">
        <f>IF(AG20=0,0,IF(OR('Panel'!$D$5="Todas las cuentas",'Panel'!$D$5="",F20='Panel'!$D$5),1,0))</f>
        <v>1</v>
      </c>
      <c r="AI20">
        <f>IF(AH20=0,0,IF(AND(OR('Panel'!$G$5="",D20&gt;='Panel'!$G$5),OR('Panel'!$J$5="",D20&lt;='Panel'!$J$5)),1,0))</f>
        <v>1</v>
      </c>
      <c r="AJ20">
        <f>IF(AI20=1,R20,0)</f>
        <v>76.50000000000229</v>
      </c>
      <c r="AK20">
        <f>IF(AI20=1,'Panel'!$AB$4+SUM($AJ$5:AJ20),"")</f>
        <v>20821.54750000003</v>
      </c>
      <c r="AL20">
        <f>IF(AI20=0,N(AL19),IF(R20&lt;0,N(AL19)+1,0))</f>
        <v>0</v>
      </c>
      <c r="AM20">
        <f>IF(AI20=0,N(AM19),IF(R20&gt;0,N(AM19)+1,0))</f>
        <v>2</v>
      </c>
      <c r="AN20">
        <f>IF(AI20=1,MAX('Panel'!$AB$4,N(AN19),AK20),N(AN19))</f>
        <v>20821.54750000003</v>
      </c>
      <c r="AO20">
        <f>IF(AI20=1,AN20-AK20,0)</f>
        <v>0</v>
      </c>
      <c r="AP20">
        <f>IF(AND(AI20=1,AN20&gt;0),AO20/AN20,0)</f>
        <v>0</v>
      </c>
      <c r="AQ20">
        <f>IF(AI20=1,SUM($AI$5:AI20),"")</f>
        <v>16</v>
      </c>
      <c r="AR20">
        <f>IF(AI20=1,IF(COUNTIFS($D$5:D20,D20,$AI$5:AI20,1)=1,SUMIFS($AJ$5:$AJ$504,$D$5:$D$504,D20),""),"")</f>
        <v>76.50000000000229</v>
      </c>
      <c r="AS20">
        <f>IF(AG20=1,WEEKDAY(D20,2),"")</f>
        <v>5</v>
      </c>
      <c r="AT20" s="31">
        <f>IF(AG20=1,DATE(YEAR(D20),MONTH(D20),1),"")</f>
        <v>46266</v>
      </c>
      <c r="AU20">
        <f>IF(AG20=0,0,IF(AND(OR('Prop challenge'!$D$7="",F20='Prop challenge'!$D$7),OR('Prop challenge'!$D$9="",D20&gt;='Prop challenge'!$D$9)),1,0))</f>
        <v>0</v>
      </c>
      <c r="AV20">
        <f>IF(AU20=1,IF(COUNTIFS($D$5:D20,D20,$AU$5:AU20,1)=1,1,0),0)</f>
        <v>0</v>
      </c>
      <c r="AW20" t="str">
        <f>IF(AV20=1,SUM($AV$5:AV20),"")</f>
        <v/>
      </c>
      <c r="AX20" t="str">
        <f>IF(AV20=1,SUMIFS($R$5:$R$504,$D$5:$D$504,D20,$AU$5:$AU$504,1),"")</f>
        <v/>
      </c>
    </row>
    <row r="21">
      <c r="A21" s="20">
        <f>IF(AG21=1,ROW()-4,"")</f>
        <v>17</v>
      </c>
      <c r="B21" s="21" t="n">
        <v>46293</v>
      </c>
      <c r="C21" s="22" t="n">
        <v>0.3854166666666667</v>
      </c>
      <c r="D21" s="21" t="n">
        <v>46293</v>
      </c>
      <c r="E21" s="22" t="n">
        <v>0.4965277777777778</v>
      </c>
      <c r="F21" s="23" t="inlineStr">
        <is>
          <t>Personal</t>
        </is>
      </c>
      <c r="G21" s="23" t="inlineStr">
        <is>
          <t>GBPUSD</t>
        </is>
      </c>
      <c r="H21" s="23" t="inlineStr">
        <is>
          <t>Venta</t>
        </is>
      </c>
      <c r="I21" s="24" t="n">
        <v>0.4</v>
      </c>
      <c r="J21" s="25" t="n">
        <v>1.31966</v>
      </c>
      <c r="K21" s="25" t="n">
        <v>1.32216</v>
      </c>
      <c r="L21" s="25" t="n">
        <v>1.32216</v>
      </c>
      <c r="M21" s="25" t="n">
        <v>1.31466</v>
      </c>
      <c r="N21" s="26" t="n">
        <v>2.8</v>
      </c>
      <c r="O21" s="26" t="n">
        <v>0</v>
      </c>
      <c r="P21" s="27">
        <f>IF(OR(J21="",K21="",I21="",AF21=0,AD21=""),"",(K21-J21)*AF21*I21*AD21*AE21)</f>
        <v>-99.99999999999788</v>
      </c>
      <c r="Q21" s="26" t="n"/>
      <c r="R21" s="28">
        <f>IF(Q21&lt;&gt;"",Q21,IF(P21="","",P21-N(N21)+N(O21)))</f>
        <v>-102.79999999999788</v>
      </c>
      <c r="S21" s="27">
        <f>IF(OR(L21="",J21="",I21="",AD21=""),"",ABS(J21-L21)*I21*AD21*AE21)</f>
        <v>99.99999999999788</v>
      </c>
      <c r="T21" s="29">
        <f>IF(OR(R21="",S21="",S21=0),"",R21/S21)</f>
        <v>-1.0280000000000005</v>
      </c>
      <c r="U21" s="20" t="str">
        <f>IF(R21="","",IF(R21&gt;0,"Ganadora",IF(R21&lt;0,"Perdedora","BE")))</f>
        <v>Perdedora</v>
      </c>
      <c r="V21" s="23" t="inlineStr">
        <is>
          <t>Ruptura</t>
        </is>
      </c>
      <c r="W21" s="23" t="inlineStr">
        <is>
          <t>Londres</t>
        </is>
      </c>
      <c r="X21" s="23" t="inlineStr">
        <is>
          <t>Ninguno</t>
        </is>
      </c>
      <c r="Y21" s="23" t="inlineStr">
        <is>
          <t>FOMO</t>
        </is>
      </c>
      <c r="Z21" s="23" t="inlineStr">
        <is>
          <t>Sí</t>
        </is>
      </c>
      <c r="AA21" s="23" t="inlineStr">
        <is>
          <t>Seguí el plan al pie de la letra.</t>
        </is>
      </c>
      <c r="AB21" s="30" t="n"/>
      <c r="AC21" s="1" t="n"/>
      <c r="AD21" s="1">
        <f>IF(G21="","",IFERROR(INDEX('Listas'!$N$6:$N$35,MATCH(G21,'Listas'!$M$6:$M$35,0)),""))</f>
        <v>100000</v>
      </c>
      <c r="AE21">
        <f>IF(G21="",1,IFERROR(INDEX('Listas'!$P$6:$P$35,MATCH(G21,'Listas'!$M$6:$M$35,0)),1))</f>
        <v>1</v>
      </c>
      <c r="AF21">
        <f>IF(H21="Compra",1,IF(H21="Venta",-1,0))</f>
        <v>-1</v>
      </c>
      <c r="AG21">
        <f>IF(AND(D21&lt;&gt;"",ISNUMBER(R21)),1,0)</f>
        <v>1</v>
      </c>
      <c r="AH21">
        <f>IF(AG21=0,0,IF(OR('Panel'!$D$5="Todas las cuentas",'Panel'!$D$5="",F21='Panel'!$D$5),1,0))</f>
        <v>1</v>
      </c>
      <c r="AI21">
        <f>IF(AH21=0,0,IF(AND(OR('Panel'!$G$5="",D21&gt;='Panel'!$G$5),OR('Panel'!$J$5="",D21&lt;='Panel'!$J$5)),1,0))</f>
        <v>1</v>
      </c>
      <c r="AJ21">
        <f>IF(AI21=1,R21,0)</f>
        <v>-102.79999999999788</v>
      </c>
      <c r="AK21">
        <f>IF(AI21=1,'Panel'!$AB$4+SUM($AJ$5:AJ21),"")</f>
        <v>20718.747500000034</v>
      </c>
      <c r="AL21">
        <f>IF(AI21=0,N(AL20),IF(R21&lt;0,N(AL20)+1,0))</f>
        <v>1</v>
      </c>
      <c r="AM21">
        <f>IF(AI21=0,N(AM20),IF(R21&gt;0,N(AM20)+1,0))</f>
        <v>0</v>
      </c>
      <c r="AN21">
        <f>IF(AI21=1,MAX('Panel'!$AB$4,N(AN20),AK21),N(AN20))</f>
        <v>20821.54750000003</v>
      </c>
      <c r="AO21">
        <f>IF(AI21=1,AN21-AK21,0)</f>
        <v>102.79999999999563</v>
      </c>
      <c r="AP21">
        <f>IF(AND(AI21=1,AN21&gt;0),AO21/AN21,0)</f>
        <v>0.004937193068862701</v>
      </c>
      <c r="AQ21">
        <f>IF(AI21=1,SUM($AI$5:AI21),"")</f>
        <v>17</v>
      </c>
      <c r="AR21">
        <f>IF(AI21=1,IF(COUNTIFS($D$5:D21,D21,$AI$5:AI21,1)=1,SUMIFS($AJ$5:$AJ$504,$D$5:$D$504,D21),""),"")</f>
        <v>-102.79999999999788</v>
      </c>
      <c r="AS21">
        <f>IF(AG21=1,WEEKDAY(D21,2),"")</f>
        <v>1</v>
      </c>
      <c r="AT21" s="31">
        <f>IF(AG21=1,DATE(YEAR(D21),MONTH(D21),1),"")</f>
        <v>46266</v>
      </c>
      <c r="AU21">
        <f>IF(AG21=0,0,IF(AND(OR('Prop challenge'!$D$7="",F21='Prop challenge'!$D$7),OR('Prop challenge'!$D$9="",D21&gt;='Prop challenge'!$D$9)),1,0))</f>
        <v>0</v>
      </c>
      <c r="AV21">
        <f>IF(AU21=1,IF(COUNTIFS($D$5:D21,D21,$AU$5:AU21,1)=1,1,0),0)</f>
        <v>0</v>
      </c>
      <c r="AW21" t="str">
        <f>IF(AV21=1,SUM($AV$5:AV21),"")</f>
        <v/>
      </c>
      <c r="AX21" t="str">
        <f>IF(AV21=1,SUMIFS($R$5:$R$504,$D$5:$D$504,D21,$AU$5:$AU$504,1),"")</f>
        <v/>
      </c>
    </row>
    <row r="22">
      <c r="A22" s="20">
        <f>IF(AG22=1,ROW()-4,"")</f>
        <v>18</v>
      </c>
      <c r="B22" s="21" t="n">
        <v>46295</v>
      </c>
      <c r="C22" s="22" t="n">
        <v>0.1354166666666667</v>
      </c>
      <c r="D22" s="21" t="n">
        <v>46295</v>
      </c>
      <c r="E22" s="22" t="n">
        <v>0.2465277777777778</v>
      </c>
      <c r="F22" s="23" t="inlineStr">
        <is>
          <t>Personal</t>
        </is>
      </c>
      <c r="G22" s="23" t="inlineStr">
        <is>
          <t>XAUUSD</t>
        </is>
      </c>
      <c r="H22" s="23" t="inlineStr">
        <is>
          <t>Venta</t>
        </is>
      </c>
      <c r="I22" s="24" t="n">
        <v>0.12</v>
      </c>
      <c r="J22" s="25" t="n">
        <v>3976.79</v>
      </c>
      <c r="K22" s="25" t="n">
        <v>3964.79</v>
      </c>
      <c r="L22" s="25" t="n">
        <v>3984.79</v>
      </c>
      <c r="M22" s="25" t="n">
        <v>3960.79</v>
      </c>
      <c r="N22" s="26" t="n">
        <v>0</v>
      </c>
      <c r="O22" s="26" t="n">
        <v>0</v>
      </c>
      <c r="P22" s="27">
        <f>IF(OR(J22="",K22="",I22="",AF22=0,AD22=""),"",(K22-J22)*AF22*I22*AD22*AE22)</f>
        <v>144</v>
      </c>
      <c r="Q22" s="26" t="n"/>
      <c r="R22" s="28">
        <f>IF(Q22&lt;&gt;"",Q22,IF(P22="","",P22-N(N22)+N(O22)))</f>
        <v>144</v>
      </c>
      <c r="S22" s="27">
        <f>IF(OR(L22="",J22="",I22="",AD22=""),"",ABS(J22-L22)*I22*AD22*AE22)</f>
        <v>96</v>
      </c>
      <c r="T22" s="29">
        <f>IF(OR(R22="",S22="",S22=0),"",R22/S22)</f>
        <v>1.5</v>
      </c>
      <c r="U22" s="20" t="str">
        <f>IF(R22="","",IF(R22&gt;0,"Ganadora",IF(R22&lt;0,"Perdedora","BE")))</f>
        <v>Ganadora</v>
      </c>
      <c r="V22" s="23" t="inlineStr">
        <is>
          <t>Pullback</t>
        </is>
      </c>
      <c r="W22" s="23" t="inlineStr">
        <is>
          <t>Asia</t>
        </is>
      </c>
      <c r="X22" s="23" t="inlineStr">
        <is>
          <t>Ninguno</t>
        </is>
      </c>
      <c r="Y22" s="23" t="inlineStr">
        <is>
          <t>Tranquilo</t>
        </is>
      </c>
      <c r="Z22" s="23" t="inlineStr">
        <is>
          <t>Sí</t>
        </is>
      </c>
      <c r="AA22" s="23" t="inlineStr">
        <is>
          <t>Debí no operar: poco volumen.</t>
        </is>
      </c>
      <c r="AB22" s="30" t="n"/>
      <c r="AC22" s="1" t="n"/>
      <c r="AD22" s="1">
        <f>IF(G22="","",IFERROR(INDEX('Listas'!$N$6:$N$35,MATCH(G22,'Listas'!$M$6:$M$35,0)),""))</f>
        <v>100</v>
      </c>
      <c r="AE22">
        <f>IF(G22="",1,IFERROR(INDEX('Listas'!$P$6:$P$35,MATCH(G22,'Listas'!$M$6:$M$35,0)),1))</f>
        <v>1</v>
      </c>
      <c r="AF22">
        <f>IF(H22="Compra",1,IF(H22="Venta",-1,0))</f>
        <v>-1</v>
      </c>
      <c r="AG22">
        <f>IF(AND(D22&lt;&gt;"",ISNUMBER(R22)),1,0)</f>
        <v>1</v>
      </c>
      <c r="AH22">
        <f>IF(AG22=0,0,IF(OR('Panel'!$D$5="Todas las cuentas",'Panel'!$D$5="",F22='Panel'!$D$5),1,0))</f>
        <v>1</v>
      </c>
      <c r="AI22">
        <f>IF(AH22=0,0,IF(AND(OR('Panel'!$G$5="",D22&gt;='Panel'!$G$5),OR('Panel'!$J$5="",D22&lt;='Panel'!$J$5)),1,0))</f>
        <v>1</v>
      </c>
      <c r="AJ22">
        <f>IF(AI22=1,R22,0)</f>
        <v>144</v>
      </c>
      <c r="AK22">
        <f>IF(AI22=1,'Panel'!$AB$4+SUM($AJ$5:AJ22),"")</f>
        <v>20862.747500000034</v>
      </c>
      <c r="AL22">
        <f>IF(AI22=0,N(AL21),IF(R22&lt;0,N(AL21)+1,0))</f>
        <v>0</v>
      </c>
      <c r="AM22">
        <f>IF(AI22=0,N(AM21),IF(R22&gt;0,N(AM21)+1,0))</f>
        <v>1</v>
      </c>
      <c r="AN22">
        <f>IF(AI22=1,MAX('Panel'!$AB$4,N(AN21),AK22),N(AN21))</f>
        <v>20862.747500000034</v>
      </c>
      <c r="AO22">
        <f>IF(AI22=1,AN22-AK22,0)</f>
        <v>0</v>
      </c>
      <c r="AP22">
        <f>IF(AND(AI22=1,AN22&gt;0),AO22/AN22,0)</f>
        <v>0</v>
      </c>
      <c r="AQ22">
        <f>IF(AI22=1,SUM($AI$5:AI22),"")</f>
        <v>18</v>
      </c>
      <c r="AR22">
        <f>IF(AI22=1,IF(COUNTIFS($D$5:D22,D22,$AI$5:AI22,1)=1,SUMIFS($AJ$5:$AJ$504,$D$5:$D$504,D22),""),"")</f>
        <v>144</v>
      </c>
      <c r="AS22">
        <f>IF(AG22=1,WEEKDAY(D22,2),"")</f>
        <v>3</v>
      </c>
      <c r="AT22" s="31">
        <f>IF(AG22=1,DATE(YEAR(D22),MONTH(D22),1),"")</f>
        <v>46266</v>
      </c>
      <c r="AU22">
        <f>IF(AG22=0,0,IF(AND(OR('Prop challenge'!$D$7="",F22='Prop challenge'!$D$7),OR('Prop challenge'!$D$9="",D22&gt;='Prop challenge'!$D$9)),1,0))</f>
        <v>0</v>
      </c>
      <c r="AV22">
        <f>IF(AU22=1,IF(COUNTIFS($D$5:D22,D22,$AU$5:AU22,1)=1,1,0),0)</f>
        <v>0</v>
      </c>
      <c r="AW22" t="str">
        <f>IF(AV22=1,SUM($AV$5:AV22),"")</f>
        <v/>
      </c>
      <c r="AX22" t="str">
        <f>IF(AV22=1,SUMIFS($R$5:$R$504,$D$5:$D$504,D22,$AU$5:$AU$504,1),"")</f>
        <v/>
      </c>
    </row>
    <row r="23">
      <c r="A23" s="20">
        <f>IF(AG23=1,ROW()-4,"")</f>
        <v>19</v>
      </c>
      <c r="B23" s="21" t="n">
        <v>46296</v>
      </c>
      <c r="C23" s="22" t="n">
        <v>0.5833333333333334</v>
      </c>
      <c r="D23" s="21" t="n">
        <v>46296</v>
      </c>
      <c r="E23" s="22" t="n">
        <v>0.6736111111111112</v>
      </c>
      <c r="F23" s="23" t="inlineStr">
        <is>
          <t>Personal</t>
        </is>
      </c>
      <c r="G23" s="23" t="inlineStr">
        <is>
          <t>GBPUSD</t>
        </is>
      </c>
      <c r="H23" s="23" t="inlineStr">
        <is>
          <t>Venta</t>
        </is>
      </c>
      <c r="I23" s="24" t="n">
        <v>0.4</v>
      </c>
      <c r="J23" s="25" t="n">
        <v>1.31961</v>
      </c>
      <c r="K23" s="25" t="n">
        <v>1.32211</v>
      </c>
      <c r="L23" s="25" t="n">
        <v>1.32211</v>
      </c>
      <c r="M23" s="25" t="n">
        <v>1.31461</v>
      </c>
      <c r="N23" s="26" t="n">
        <v>2.8</v>
      </c>
      <c r="O23" s="26" t="n">
        <v>0</v>
      </c>
      <c r="P23" s="27">
        <f>IF(OR(J23="",K23="",I23="",AF23=0,AD23=""),"",(K23-J23)*AF23*I23*AD23*AE23)</f>
        <v>-99.99999999999788</v>
      </c>
      <c r="Q23" s="26" t="n"/>
      <c r="R23" s="28">
        <f>IF(Q23&lt;&gt;"",Q23,IF(P23="","",P23-N(N23)+N(O23)))</f>
        <v>-102.79999999999788</v>
      </c>
      <c r="S23" s="27">
        <f>IF(OR(L23="",J23="",I23="",AD23=""),"",ABS(J23-L23)*I23*AD23*AE23)</f>
        <v>99.99999999999788</v>
      </c>
      <c r="T23" s="29">
        <f>IF(OR(R23="",S23="",S23=0),"",R23/S23)</f>
        <v>-1.0280000000000005</v>
      </c>
      <c r="U23" s="20" t="str">
        <f>IF(R23="","",IF(R23&gt;0,"Ganadora",IF(R23&lt;0,"Perdedora","BE")))</f>
        <v>Perdedora</v>
      </c>
      <c r="V23" s="23" t="inlineStr">
        <is>
          <t>Rebote en rango</t>
        </is>
      </c>
      <c r="W23" s="23" t="inlineStr">
        <is>
          <t>Solape Londres–NY</t>
        </is>
      </c>
      <c r="X23" s="23" t="inlineStr">
        <is>
          <t>Salida temprana</t>
        </is>
      </c>
      <c r="Y23" s="23" t="inlineStr">
        <is>
          <t>Dudoso</t>
        </is>
      </c>
      <c r="Z23" s="23" t="inlineStr">
        <is>
          <t>No</t>
        </is>
      </c>
      <c r="AA23" s="23" t="inlineStr">
        <is>
          <t>Esperé el retest, entrada limpia.</t>
        </is>
      </c>
      <c r="AB23" s="30" t="n"/>
      <c r="AC23" s="1" t="n"/>
      <c r="AD23" s="1">
        <f>IF(G23="","",IFERROR(INDEX('Listas'!$N$6:$N$35,MATCH(G23,'Listas'!$M$6:$M$35,0)),""))</f>
        <v>100000</v>
      </c>
      <c r="AE23">
        <f>IF(G23="",1,IFERROR(INDEX('Listas'!$P$6:$P$35,MATCH(G23,'Listas'!$M$6:$M$35,0)),1))</f>
        <v>1</v>
      </c>
      <c r="AF23">
        <f>IF(H23="Compra",1,IF(H23="Venta",-1,0))</f>
        <v>-1</v>
      </c>
      <c r="AG23">
        <f>IF(AND(D23&lt;&gt;"",ISNUMBER(R23)),1,0)</f>
        <v>1</v>
      </c>
      <c r="AH23">
        <f>IF(AG23=0,0,IF(OR('Panel'!$D$5="Todas las cuentas",'Panel'!$D$5="",F23='Panel'!$D$5),1,0))</f>
        <v>1</v>
      </c>
      <c r="AI23">
        <f>IF(AH23=0,0,IF(AND(OR('Panel'!$G$5="",D23&gt;='Panel'!$G$5),OR('Panel'!$J$5="",D23&lt;='Panel'!$J$5)),1,0))</f>
        <v>1</v>
      </c>
      <c r="AJ23">
        <f>IF(AI23=1,R23,0)</f>
        <v>-102.79999999999788</v>
      </c>
      <c r="AK23">
        <f>IF(AI23=1,'Panel'!$AB$4+SUM($AJ$5:AJ23),"")</f>
        <v>20759.947500000035</v>
      </c>
      <c r="AL23">
        <f>IF(AI23=0,N(AL22),IF(R23&lt;0,N(AL22)+1,0))</f>
        <v>1</v>
      </c>
      <c r="AM23">
        <f>IF(AI23=0,N(AM22),IF(R23&gt;0,N(AM22)+1,0))</f>
        <v>0</v>
      </c>
      <c r="AN23">
        <f>IF(AI23=1,MAX('Panel'!$AB$4,N(AN22),AK23),N(AN22))</f>
        <v>20862.747500000034</v>
      </c>
      <c r="AO23">
        <f>IF(AI23=1,AN23-AK23,0)</f>
        <v>102.79999999999927</v>
      </c>
      <c r="AP23">
        <f>IF(AND(AI23=1,AN23&gt;0),AO23/AN23,0)</f>
        <v>0.004927443041718216</v>
      </c>
      <c r="AQ23">
        <f>IF(AI23=1,SUM($AI$5:AI23),"")</f>
        <v>19</v>
      </c>
      <c r="AR23">
        <f>IF(AI23=1,IF(COUNTIFS($D$5:D23,D23,$AI$5:AI23,1)=1,SUMIFS($AJ$5:$AJ$504,$D$5:$D$504,D23),""),"")</f>
        <v>-102.79999999999788</v>
      </c>
      <c r="AS23">
        <f>IF(AG23=1,WEEKDAY(D23,2),"")</f>
        <v>4</v>
      </c>
      <c r="AT23" s="31">
        <f>IF(AG23=1,DATE(YEAR(D23),MONTH(D23),1),"")</f>
        <v>46296</v>
      </c>
      <c r="AU23">
        <f>IF(AG23=0,0,IF(AND(OR('Prop challenge'!$D$7="",F23='Prop challenge'!$D$7),OR('Prop challenge'!$D$9="",D23&gt;='Prop challenge'!$D$9)),1,0))</f>
        <v>0</v>
      </c>
      <c r="AV23">
        <f>IF(AU23=1,IF(COUNTIFS($D$5:D23,D23,$AU$5:AU23,1)=1,1,0),0)</f>
        <v>0</v>
      </c>
      <c r="AW23" t="str">
        <f>IF(AV23=1,SUM($AV$5:AV23),"")</f>
        <v/>
      </c>
      <c r="AX23" t="str">
        <f>IF(AV23=1,SUMIFS($R$5:$R$504,$D$5:$D$504,D23,$AU$5:$AU$504,1),"")</f>
        <v/>
      </c>
    </row>
    <row r="24">
      <c r="A24" s="20">
        <f>IF(AG24=1,ROW()-4,"")</f>
        <v>20</v>
      </c>
      <c r="B24" s="21" t="n">
        <v>46297</v>
      </c>
      <c r="C24" s="22" t="n">
        <v>0.5868055555555556</v>
      </c>
      <c r="D24" s="21" t="n">
        <v>46297</v>
      </c>
      <c r="E24" s="22" t="n">
        <v>0.6631944444444444</v>
      </c>
      <c r="F24" s="23" t="inlineStr">
        <is>
          <t>Challenge 10K</t>
        </is>
      </c>
      <c r="G24" s="23" t="inlineStr">
        <is>
          <t>NAS100</t>
        </is>
      </c>
      <c r="H24" s="23" t="inlineStr">
        <is>
          <t>Venta</t>
        </is>
      </c>
      <c r="I24" s="24" t="n">
        <v>1.5</v>
      </c>
      <c r="J24" s="25" t="n">
        <v>25469.3</v>
      </c>
      <c r="K24" s="25" t="n">
        <v>25349.3</v>
      </c>
      <c r="L24" s="25" t="n">
        <v>25529.3</v>
      </c>
      <c r="M24" s="25" t="n">
        <v>25349.3</v>
      </c>
      <c r="N24" s="26" t="n">
        <v>0</v>
      </c>
      <c r="O24" s="26" t="n">
        <v>0</v>
      </c>
      <c r="P24" s="27">
        <f>IF(OR(J24="",K24="",I24="",AF24=0,AD24=""),"",(K24-J24)*AF24*I24*AD24*AE24)</f>
        <v>180</v>
      </c>
      <c r="Q24" s="26" t="n"/>
      <c r="R24" s="28">
        <f>IF(Q24&lt;&gt;"",Q24,IF(P24="","",P24-N(N24)+N(O24)))</f>
        <v>180</v>
      </c>
      <c r="S24" s="27">
        <f>IF(OR(L24="",J24="",I24="",AD24=""),"",ABS(J24-L24)*I24*AD24*AE24)</f>
        <v>90</v>
      </c>
      <c r="T24" s="29">
        <f>IF(OR(R24="",S24="",S24=0),"",R24/S24)</f>
        <v>2</v>
      </c>
      <c r="U24" s="20" t="str">
        <f>IF(R24="","",IF(R24&gt;0,"Ganadora",IF(R24&lt;0,"Perdedora","BE")))</f>
        <v>Ganadora</v>
      </c>
      <c r="V24" s="23" t="inlineStr">
        <is>
          <t>Pullback</t>
        </is>
      </c>
      <c r="W24" s="23" t="inlineStr">
        <is>
          <t>Solape Londres–NY</t>
        </is>
      </c>
      <c r="X24" s="23" t="inlineStr">
        <is>
          <t>Ninguno</t>
        </is>
      </c>
      <c r="Y24" s="23" t="inlineStr">
        <is>
          <t>Tranquilo</t>
        </is>
      </c>
      <c r="Z24" s="23" t="inlineStr">
        <is>
          <t>Sí</t>
        </is>
      </c>
      <c r="AA24" s="23" t="inlineStr">
        <is>
          <t>Entré antes de la confirmación.</t>
        </is>
      </c>
      <c r="AB24" s="30" t="n"/>
      <c r="AC24" s="1" t="n"/>
      <c r="AD24" s="1">
        <f>IF(G24="","",IFERROR(INDEX('Listas'!$N$6:$N$35,MATCH(G24,'Listas'!$M$6:$M$35,0)),""))</f>
        <v>1</v>
      </c>
      <c r="AE24">
        <f>IF(G24="",1,IFERROR(INDEX('Listas'!$P$6:$P$35,MATCH(G24,'Listas'!$M$6:$M$35,0)),1))</f>
        <v>1</v>
      </c>
      <c r="AF24">
        <f>IF(H24="Compra",1,IF(H24="Venta",-1,0))</f>
        <v>-1</v>
      </c>
      <c r="AG24">
        <f>IF(AND(D24&lt;&gt;"",ISNUMBER(R24)),1,0)</f>
        <v>1</v>
      </c>
      <c r="AH24">
        <f>IF(AG24=0,0,IF(OR('Panel'!$D$5="Todas las cuentas",'Panel'!$D$5="",F24='Panel'!$D$5),1,0))</f>
        <v>1</v>
      </c>
      <c r="AI24">
        <f>IF(AH24=0,0,IF(AND(OR('Panel'!$G$5="",D24&gt;='Panel'!$G$5),OR('Panel'!$J$5="",D24&lt;='Panel'!$J$5)),1,0))</f>
        <v>1</v>
      </c>
      <c r="AJ24">
        <f>IF(AI24=1,R24,0)</f>
        <v>180</v>
      </c>
      <c r="AK24">
        <f>IF(AI24=1,'Panel'!$AB$4+SUM($AJ$5:AJ24),"")</f>
        <v>20939.947500000035</v>
      </c>
      <c r="AL24">
        <f>IF(AI24=0,N(AL23),IF(R24&lt;0,N(AL23)+1,0))</f>
        <v>0</v>
      </c>
      <c r="AM24">
        <f>IF(AI24=0,N(AM23),IF(R24&gt;0,N(AM23)+1,0))</f>
        <v>1</v>
      </c>
      <c r="AN24">
        <f>IF(AI24=1,MAX('Panel'!$AB$4,N(AN23),AK24),N(AN23))</f>
        <v>20939.947500000035</v>
      </c>
      <c r="AO24">
        <f>IF(AI24=1,AN24-AK24,0)</f>
        <v>0</v>
      </c>
      <c r="AP24">
        <f>IF(AND(AI24=1,AN24&gt;0),AO24/AN24,0)</f>
        <v>0</v>
      </c>
      <c r="AQ24">
        <f>IF(AI24=1,SUM($AI$5:AI24),"")</f>
        <v>20</v>
      </c>
      <c r="AR24">
        <f>IF(AI24=1,IF(COUNTIFS($D$5:D24,D24,$AI$5:AI24,1)=1,SUMIFS($AJ$5:$AJ$504,$D$5:$D$504,D24),""),"")</f>
        <v>180</v>
      </c>
      <c r="AS24">
        <f>IF(AG24=1,WEEKDAY(D24,2),"")</f>
        <v>5</v>
      </c>
      <c r="AT24" s="31">
        <f>IF(AG24=1,DATE(YEAR(D24),MONTH(D24),1),"")</f>
        <v>46296</v>
      </c>
      <c r="AU24">
        <f>IF(AG24=0,0,IF(AND(OR('Prop challenge'!$D$7="",F24='Prop challenge'!$D$7),OR('Prop challenge'!$D$9="",D24&gt;='Prop challenge'!$D$9)),1,0))</f>
        <v>1</v>
      </c>
      <c r="AV24">
        <f>IF(AU24=1,IF(COUNTIFS($D$5:D24,D24,$AU$5:AU24,1)=1,1,0),0)</f>
        <v>1</v>
      </c>
      <c r="AW24">
        <f>IF(AV24=1,SUM($AV$5:AV24),"")</f>
        <v>1</v>
      </c>
      <c r="AX24">
        <f>IF(AV24=1,SUMIFS($R$5:$R$504,$D$5:$D$504,D24,$AU$5:$AU$504,1),"")</f>
        <v>180</v>
      </c>
    </row>
    <row r="25">
      <c r="A25" s="20">
        <f>IF(AG25=1,ROW()-4,"")</f>
        <v>21</v>
      </c>
      <c r="B25" s="21" t="n">
        <v>46300</v>
      </c>
      <c r="C25" s="22" t="n">
        <v>0.1354166666666667</v>
      </c>
      <c r="D25" s="21" t="n">
        <v>46300</v>
      </c>
      <c r="E25" s="22" t="n">
        <v>0.2777777777777778</v>
      </c>
      <c r="F25" s="23" t="inlineStr">
        <is>
          <t>Challenge 10K</t>
        </is>
      </c>
      <c r="G25" s="23" t="inlineStr">
        <is>
          <t>XAUUSD</t>
        </is>
      </c>
      <c r="H25" s="23" t="inlineStr">
        <is>
          <t>Venta</t>
        </is>
      </c>
      <c r="I25" s="24" t="n">
        <v>0.12</v>
      </c>
      <c r="J25" s="25" t="n">
        <v>4028.53</v>
      </c>
      <c r="K25" s="25" t="n">
        <v>4020.53</v>
      </c>
      <c r="L25" s="25" t="n">
        <v>4036.53</v>
      </c>
      <c r="M25" s="25" t="n">
        <v>4012.53</v>
      </c>
      <c r="N25" s="26" t="n">
        <v>0</v>
      </c>
      <c r="O25" s="26" t="n">
        <v>0</v>
      </c>
      <c r="P25" s="27">
        <f>IF(OR(J25="",K25="",I25="",AF25=0,AD25=""),"",(K25-J25)*AF25*I25*AD25*AE25)</f>
        <v>96</v>
      </c>
      <c r="Q25" s="26" t="n"/>
      <c r="R25" s="28">
        <f>IF(Q25&lt;&gt;"",Q25,IF(P25="","",P25-N(N25)+N(O25)))</f>
        <v>96</v>
      </c>
      <c r="S25" s="27">
        <f>IF(OR(L25="",J25="",I25="",AD25=""),"",ABS(J25-L25)*I25*AD25*AE25)</f>
        <v>96</v>
      </c>
      <c r="T25" s="29">
        <f>IF(OR(R25="",S25="",S25=0),"",R25/S25)</f>
        <v>1</v>
      </c>
      <c r="U25" s="20" t="str">
        <f>IF(R25="","",IF(R25&gt;0,"Ganadora",IF(R25&lt;0,"Perdedora","BE")))</f>
        <v>Ganadora</v>
      </c>
      <c r="V25" s="23" t="inlineStr">
        <is>
          <t>Pullback</t>
        </is>
      </c>
      <c r="W25" s="23" t="inlineStr">
        <is>
          <t>Asia</t>
        </is>
      </c>
      <c r="X25" s="23" t="inlineStr">
        <is>
          <t>Ninguno</t>
        </is>
      </c>
      <c r="Y25" s="23" t="inlineStr">
        <is>
          <t>Tranquilo</t>
        </is>
      </c>
      <c r="Z25" s="23" t="inlineStr">
        <is>
          <t>Sí</t>
        </is>
      </c>
      <c r="AA25" s="23" t="inlineStr">
        <is>
          <t>Parcial en 1R, el resto en objetivo.</t>
        </is>
      </c>
      <c r="AB25" s="30" t="n"/>
      <c r="AC25" s="1" t="n"/>
      <c r="AD25" s="1">
        <f>IF(G25="","",IFERROR(INDEX('Listas'!$N$6:$N$35,MATCH(G25,'Listas'!$M$6:$M$35,0)),""))</f>
        <v>100</v>
      </c>
      <c r="AE25">
        <f>IF(G25="",1,IFERROR(INDEX('Listas'!$P$6:$P$35,MATCH(G25,'Listas'!$M$6:$M$35,0)),1))</f>
        <v>1</v>
      </c>
      <c r="AF25">
        <f>IF(H25="Compra",1,IF(H25="Venta",-1,0))</f>
        <v>-1</v>
      </c>
      <c r="AG25">
        <f>IF(AND(D25&lt;&gt;"",ISNUMBER(R25)),1,0)</f>
        <v>1</v>
      </c>
      <c r="AH25">
        <f>IF(AG25=0,0,IF(OR('Panel'!$D$5="Todas las cuentas",'Panel'!$D$5="",F25='Panel'!$D$5),1,0))</f>
        <v>1</v>
      </c>
      <c r="AI25">
        <f>IF(AH25=0,0,IF(AND(OR('Panel'!$G$5="",D25&gt;='Panel'!$G$5),OR('Panel'!$J$5="",D25&lt;='Panel'!$J$5)),1,0))</f>
        <v>1</v>
      </c>
      <c r="AJ25">
        <f>IF(AI25=1,R25,0)</f>
        <v>96</v>
      </c>
      <c r="AK25">
        <f>IF(AI25=1,'Panel'!$AB$4+SUM($AJ$5:AJ25),"")</f>
        <v>21035.947500000035</v>
      </c>
      <c r="AL25">
        <f>IF(AI25=0,N(AL24),IF(R25&lt;0,N(AL24)+1,0))</f>
        <v>0</v>
      </c>
      <c r="AM25">
        <f>IF(AI25=0,N(AM24),IF(R25&gt;0,N(AM24)+1,0))</f>
        <v>2</v>
      </c>
      <c r="AN25">
        <f>IF(AI25=1,MAX('Panel'!$AB$4,N(AN24),AK25),N(AN24))</f>
        <v>21035.947500000035</v>
      </c>
      <c r="AO25">
        <f>IF(AI25=1,AN25-AK25,0)</f>
        <v>0</v>
      </c>
      <c r="AP25">
        <f>IF(AND(AI25=1,AN25&gt;0),AO25/AN25,0)</f>
        <v>0</v>
      </c>
      <c r="AQ25">
        <f>IF(AI25=1,SUM($AI$5:AI25),"")</f>
        <v>21</v>
      </c>
      <c r="AR25">
        <f>IF(AI25=1,IF(COUNTIFS($D$5:D25,D25,$AI$5:AI25,1)=1,SUMIFS($AJ$5:$AJ$504,$D$5:$D$504,D25),""),"")</f>
        <v>96</v>
      </c>
      <c r="AS25">
        <f>IF(AG25=1,WEEKDAY(D25,2),"")</f>
        <v>1</v>
      </c>
      <c r="AT25" s="31">
        <f>IF(AG25=1,DATE(YEAR(D25),MONTH(D25),1),"")</f>
        <v>46296</v>
      </c>
      <c r="AU25">
        <f>IF(AG25=0,0,IF(AND(OR('Prop challenge'!$D$7="",F25='Prop challenge'!$D$7),OR('Prop challenge'!$D$9="",D25&gt;='Prop challenge'!$D$9)),1,0))</f>
        <v>1</v>
      </c>
      <c r="AV25">
        <f>IF(AU25=1,IF(COUNTIFS($D$5:D25,D25,$AU$5:AU25,1)=1,1,0),0)</f>
        <v>1</v>
      </c>
      <c r="AW25">
        <f>IF(AV25=1,SUM($AV$5:AV25),"")</f>
        <v>2</v>
      </c>
      <c r="AX25">
        <f>IF(AV25=1,SUMIFS($R$5:$R$504,$D$5:$D$504,D25,$AU$5:$AU$504,1),"")</f>
        <v>96</v>
      </c>
    </row>
    <row r="26">
      <c r="A26" s="20">
        <f>IF(AG26=1,ROW()-4,"")</f>
        <v>22</v>
      </c>
      <c r="B26" s="21" t="n">
        <v>46301</v>
      </c>
      <c r="C26" s="22" t="n">
        <v>0.6354166666666666</v>
      </c>
      <c r="D26" s="21" t="n">
        <v>46301</v>
      </c>
      <c r="E26" s="22" t="n">
        <v>0.7152777777777778</v>
      </c>
      <c r="F26" s="23" t="inlineStr">
        <is>
          <t>Personal</t>
        </is>
      </c>
      <c r="G26" s="23" t="inlineStr">
        <is>
          <t>USDJPY</t>
        </is>
      </c>
      <c r="H26" s="23" t="inlineStr">
        <is>
          <t>Venta</t>
        </is>
      </c>
      <c r="I26" s="24" t="n">
        <v>0.5</v>
      </c>
      <c r="J26" s="25" t="n">
        <v>159.176</v>
      </c>
      <c r="K26" s="25" t="n">
        <v>159.536</v>
      </c>
      <c r="L26" s="25" t="n">
        <v>159.476</v>
      </c>
      <c r="M26" s="25" t="n">
        <v>158.576</v>
      </c>
      <c r="N26" s="26" t="n">
        <v>3.5</v>
      </c>
      <c r="O26" s="26" t="n">
        <v>0</v>
      </c>
      <c r="P26" s="27">
        <f>IF(OR(J26="",K26="",I26="",AF26=0,AD26=""),"",(K26-J26)*AF26*I26*AD26*AE26)</f>
        <v>-113.88600000000433</v>
      </c>
      <c r="Q26" s="26" t="n"/>
      <c r="R26" s="28">
        <f>IF(Q26&lt;&gt;"",Q26,IF(P26="","",P26-N(N26)+N(O26)))</f>
        <v>-117.38600000000433</v>
      </c>
      <c r="S26" s="27">
        <f>IF(OR(L26="",J26="",I26="",AD26=""),"",ABS(J26-L26)*I26*AD26*AE26)</f>
        <v>94.9050000000036</v>
      </c>
      <c r="T26" s="29">
        <f>IF(OR(R26="",S26="",S26=0),"",R26/S26)</f>
        <v>-1.236878984247404</v>
      </c>
      <c r="U26" s="20" t="str">
        <f>IF(R26="","",IF(R26&gt;0,"Ganadora",IF(R26&lt;0,"Perdedora","BE")))</f>
        <v>Perdedora</v>
      </c>
      <c r="V26" s="23" t="inlineStr">
        <is>
          <t>Pullback</t>
        </is>
      </c>
      <c r="W26" s="23" t="inlineStr">
        <is>
          <t>Solape Londres–NY</t>
        </is>
      </c>
      <c r="X26" s="23" t="inlineStr">
        <is>
          <t>Ninguno</t>
        </is>
      </c>
      <c r="Y26" s="23" t="inlineStr">
        <is>
          <t>FOMO</t>
        </is>
      </c>
      <c r="Z26" s="23" t="inlineStr">
        <is>
          <t>Sí</t>
        </is>
      </c>
      <c r="AA26" s="23" t="inlineStr">
        <is>
          <t>Un pico de noticias me sacó por stop.</t>
        </is>
      </c>
      <c r="AB26" s="30" t="n"/>
      <c r="AC26" s="1" t="n"/>
      <c r="AD26" s="1">
        <f>IF(G26="","",IFERROR(INDEX('Listas'!$N$6:$N$35,MATCH(G26,'Listas'!$M$6:$M$35,0)),""))</f>
        <v>100000</v>
      </c>
      <c r="AE26">
        <f>IF(G26="",1,IFERROR(INDEX('Listas'!$P$6:$P$35,MATCH(G26,'Listas'!$M$6:$M$35,0)),1))</f>
        <v>0.006327</v>
      </c>
      <c r="AF26">
        <f>IF(H26="Compra",1,IF(H26="Venta",-1,0))</f>
        <v>-1</v>
      </c>
      <c r="AG26">
        <f>IF(AND(D26&lt;&gt;"",ISNUMBER(R26)),1,0)</f>
        <v>1</v>
      </c>
      <c r="AH26">
        <f>IF(AG26=0,0,IF(OR('Panel'!$D$5="Todas las cuentas",'Panel'!$D$5="",F26='Panel'!$D$5),1,0))</f>
        <v>1</v>
      </c>
      <c r="AI26">
        <f>IF(AH26=0,0,IF(AND(OR('Panel'!$G$5="",D26&gt;='Panel'!$G$5),OR('Panel'!$J$5="",D26&lt;='Panel'!$J$5)),1,0))</f>
        <v>1</v>
      </c>
      <c r="AJ26">
        <f>IF(AI26=1,R26,0)</f>
        <v>-117.38600000000433</v>
      </c>
      <c r="AK26">
        <f>IF(AI26=1,'Panel'!$AB$4+SUM($AJ$5:AJ26),"")</f>
        <v>20918.561500000033</v>
      </c>
      <c r="AL26">
        <f>IF(AI26=0,N(AL25),IF(R26&lt;0,N(AL25)+1,0))</f>
        <v>1</v>
      </c>
      <c r="AM26">
        <f>IF(AI26=0,N(AM25),IF(R26&gt;0,N(AM25)+1,0))</f>
        <v>0</v>
      </c>
      <c r="AN26">
        <f>IF(AI26=1,MAX('Panel'!$AB$4,N(AN25),AK26),N(AN25))</f>
        <v>21035.947500000035</v>
      </c>
      <c r="AO26">
        <f>IF(AI26=1,AN26-AK26,0)</f>
        <v>117.38600000000224</v>
      </c>
      <c r="AP26">
        <f>IF(AND(AI26=1,AN26&gt;0),AO26/AN26,0)</f>
        <v>0.005580257319048835</v>
      </c>
      <c r="AQ26">
        <f>IF(AI26=1,SUM($AI$5:AI26),"")</f>
        <v>22</v>
      </c>
      <c r="AR26">
        <f>IF(AI26=1,IF(COUNTIFS($D$5:D26,D26,$AI$5:AI26,1)=1,SUMIFS($AJ$5:$AJ$504,$D$5:$D$504,D26),""),"")</f>
        <v>-117.38600000000433</v>
      </c>
      <c r="AS26">
        <f>IF(AG26=1,WEEKDAY(D26,2),"")</f>
        <v>2</v>
      </c>
      <c r="AT26" s="31">
        <f>IF(AG26=1,DATE(YEAR(D26),MONTH(D26),1),"")</f>
        <v>46296</v>
      </c>
      <c r="AU26">
        <f>IF(AG26=0,0,IF(AND(OR('Prop challenge'!$D$7="",F26='Prop challenge'!$D$7),OR('Prop challenge'!$D$9="",D26&gt;='Prop challenge'!$D$9)),1,0))</f>
        <v>0</v>
      </c>
      <c r="AV26">
        <f>IF(AU26=1,IF(COUNTIFS($D$5:D26,D26,$AU$5:AU26,1)=1,1,0),0)</f>
        <v>0</v>
      </c>
      <c r="AW26" t="str">
        <f>IF(AV26=1,SUM($AV$5:AV26),"")</f>
        <v/>
      </c>
      <c r="AX26" t="str">
        <f>IF(AV26=1,SUMIFS($R$5:$R$504,$D$5:$D$504,D26,$AU$5:$AU$504,1),"")</f>
        <v/>
      </c>
    </row>
    <row r="27">
      <c r="A27" s="20">
        <f>IF(AG27=1,ROW()-4,"")</f>
        <v>23</v>
      </c>
      <c r="B27" s="21" t="n">
        <v>46302</v>
      </c>
      <c r="C27" s="22" t="n">
        <v>0.5833333333333334</v>
      </c>
      <c r="D27" s="21" t="n">
        <v>46302</v>
      </c>
      <c r="E27" s="22" t="n">
        <v>0.7361111111111112</v>
      </c>
      <c r="F27" s="23" t="inlineStr">
        <is>
          <t>Challenge 10K</t>
        </is>
      </c>
      <c r="G27" s="23" t="inlineStr">
        <is>
          <t>GBPUSD</t>
        </is>
      </c>
      <c r="H27" s="23" t="inlineStr">
        <is>
          <t>Venta</t>
        </is>
      </c>
      <c r="I27" s="24" t="n">
        <v>0.4</v>
      </c>
      <c r="J27" s="25" t="n">
        <v>1.3323</v>
      </c>
      <c r="K27" s="25" t="n">
        <v>1.3348</v>
      </c>
      <c r="L27" s="25" t="n">
        <v>1.3348</v>
      </c>
      <c r="M27" s="25" t="n">
        <v>1.3273</v>
      </c>
      <c r="N27" s="26" t="n">
        <v>2.8</v>
      </c>
      <c r="O27" s="26" t="n">
        <v>0</v>
      </c>
      <c r="P27" s="27">
        <f>IF(OR(J27="",K27="",I27="",AF27=0,AD27=""),"",(K27-J27)*AF27*I27*AD27*AE27)</f>
        <v>-99.99999999999788</v>
      </c>
      <c r="Q27" s="26" t="n"/>
      <c r="R27" s="28">
        <f>IF(Q27&lt;&gt;"",Q27,IF(P27="","",P27-N(N27)+N(O27)))</f>
        <v>-102.79999999999788</v>
      </c>
      <c r="S27" s="27">
        <f>IF(OR(L27="",J27="",I27="",AD27=""),"",ABS(J27-L27)*I27*AD27*AE27)</f>
        <v>99.99999999999788</v>
      </c>
      <c r="T27" s="29">
        <f>IF(OR(R27="",S27="",S27=0),"",R27/S27)</f>
        <v>-1.0280000000000005</v>
      </c>
      <c r="U27" s="20" t="str">
        <f>IF(R27="","",IF(R27&gt;0,"Ganadora",IF(R27&lt;0,"Perdedora","BE")))</f>
        <v>Perdedora</v>
      </c>
      <c r="V27" s="23" t="inlineStr">
        <is>
          <t>Ruptura</t>
        </is>
      </c>
      <c r="W27" s="23" t="inlineStr">
        <is>
          <t>Solape Londres–NY</t>
        </is>
      </c>
      <c r="X27" s="23" t="inlineStr">
        <is>
          <t>Moví el stop</t>
        </is>
      </c>
      <c r="Y27" s="23" t="inlineStr">
        <is>
          <t>FOMO</t>
        </is>
      </c>
      <c r="Z27" s="23" t="inlineStr">
        <is>
          <t>No</t>
        </is>
      </c>
      <c r="AA27" s="23" t="inlineStr">
        <is>
          <t>Seguí el plan al pie de la letra.</t>
        </is>
      </c>
      <c r="AB27" s="30" t="n"/>
      <c r="AC27" s="1" t="n"/>
      <c r="AD27" s="1">
        <f>IF(G27="","",IFERROR(INDEX('Listas'!$N$6:$N$35,MATCH(G27,'Listas'!$M$6:$M$35,0)),""))</f>
        <v>100000</v>
      </c>
      <c r="AE27">
        <f>IF(G27="",1,IFERROR(INDEX('Listas'!$P$6:$P$35,MATCH(G27,'Listas'!$M$6:$M$35,0)),1))</f>
        <v>1</v>
      </c>
      <c r="AF27">
        <f>IF(H27="Compra",1,IF(H27="Venta",-1,0))</f>
        <v>-1</v>
      </c>
      <c r="AG27">
        <f>IF(AND(D27&lt;&gt;"",ISNUMBER(R27)),1,0)</f>
        <v>1</v>
      </c>
      <c r="AH27">
        <f>IF(AG27=0,0,IF(OR('Panel'!$D$5="Todas las cuentas",'Panel'!$D$5="",F27='Panel'!$D$5),1,0))</f>
        <v>1</v>
      </c>
      <c r="AI27">
        <f>IF(AH27=0,0,IF(AND(OR('Panel'!$G$5="",D27&gt;='Panel'!$G$5),OR('Panel'!$J$5="",D27&lt;='Panel'!$J$5)),1,0))</f>
        <v>1</v>
      </c>
      <c r="AJ27">
        <f>IF(AI27=1,R27,0)</f>
        <v>-102.79999999999788</v>
      </c>
      <c r="AK27">
        <f>IF(AI27=1,'Panel'!$AB$4+SUM($AJ$5:AJ27),"")</f>
        <v>20815.761500000033</v>
      </c>
      <c r="AL27">
        <f>IF(AI27=0,N(AL26),IF(R27&lt;0,N(AL26)+1,0))</f>
        <v>2</v>
      </c>
      <c r="AM27">
        <f>IF(AI27=0,N(AM26),IF(R27&gt;0,N(AM26)+1,0))</f>
        <v>0</v>
      </c>
      <c r="AN27">
        <f>IF(AI27=1,MAX('Panel'!$AB$4,N(AN26),AK27),N(AN26))</f>
        <v>21035.947500000035</v>
      </c>
      <c r="AO27">
        <f>IF(AI27=1,AN27-AK27,0)</f>
        <v>220.1860000000015</v>
      </c>
      <c r="AP27">
        <f>IF(AND(AI27=1,AN27&gt;0),AO27/AN27,0)</f>
        <v>0.010467130135212646</v>
      </c>
      <c r="AQ27">
        <f>IF(AI27=1,SUM($AI$5:AI27),"")</f>
        <v>23</v>
      </c>
      <c r="AR27">
        <f>IF(AI27=1,IF(COUNTIFS($D$5:D27,D27,$AI$5:AI27,1)=1,SUMIFS($AJ$5:$AJ$504,$D$5:$D$504,D27),""),"")</f>
        <v>-102.79999999999788</v>
      </c>
      <c r="AS27">
        <f>IF(AG27=1,WEEKDAY(D27,2),"")</f>
        <v>3</v>
      </c>
      <c r="AT27" s="31">
        <f>IF(AG27=1,DATE(YEAR(D27),MONTH(D27),1),"")</f>
        <v>46296</v>
      </c>
      <c r="AU27">
        <f>IF(AG27=0,0,IF(AND(OR('Prop challenge'!$D$7="",F27='Prop challenge'!$D$7),OR('Prop challenge'!$D$9="",D27&gt;='Prop challenge'!$D$9)),1,0))</f>
        <v>1</v>
      </c>
      <c r="AV27">
        <f>IF(AU27=1,IF(COUNTIFS($D$5:D27,D27,$AU$5:AU27,1)=1,1,0),0)</f>
        <v>1</v>
      </c>
      <c r="AW27">
        <f>IF(AV27=1,SUM($AV$5:AV27),"")</f>
        <v>3</v>
      </c>
      <c r="AX27">
        <f>IF(AV27=1,SUMIFS($R$5:$R$504,$D$5:$D$504,D27,$AU$5:$AU$504,1),"")</f>
        <v>-102.79999999999788</v>
      </c>
    </row>
    <row r="28">
      <c r="A28" s="20">
        <f>IF(AG28=1,ROW()-4,"")</f>
        <v>24</v>
      </c>
      <c r="B28" s="21" t="n">
        <v>46303</v>
      </c>
      <c r="C28" s="22" t="n">
        <v>0.4270833333333333</v>
      </c>
      <c r="D28" s="21" t="n">
        <v>46303</v>
      </c>
      <c r="E28" s="22" t="n">
        <v>0.4548611111111111</v>
      </c>
      <c r="F28" s="23" t="inlineStr">
        <is>
          <t>Challenge 10K</t>
        </is>
      </c>
      <c r="G28" s="23" t="inlineStr">
        <is>
          <t>GBPUSD</t>
        </is>
      </c>
      <c r="H28" s="23" t="inlineStr">
        <is>
          <t>Venta</t>
        </is>
      </c>
      <c r="I28" s="24" t="n">
        <v>0.4</v>
      </c>
      <c r="J28" s="25" t="n">
        <v>1.33934</v>
      </c>
      <c r="K28" s="25" t="n">
        <v>1.33334</v>
      </c>
      <c r="L28" s="25" t="n">
        <v>1.34184</v>
      </c>
      <c r="M28" s="25" t="n">
        <v>1.33434</v>
      </c>
      <c r="N28" s="26" t="n">
        <v>2.8</v>
      </c>
      <c r="O28" s="26" t="n">
        <v>0</v>
      </c>
      <c r="P28" s="27">
        <f>IF(OR(J28="",K28="",I28="",AF28=0,AD28=""),"",(K28-J28)*AF28*I28*AD28*AE28)</f>
        <v>240.00000000000023</v>
      </c>
      <c r="Q28" s="26" t="n"/>
      <c r="R28" s="28">
        <f>IF(Q28&lt;&gt;"",Q28,IF(P28="","",P28-N(N28)+N(O28)))</f>
        <v>237.20000000000022</v>
      </c>
      <c r="S28" s="27">
        <f>IF(OR(L28="",J28="",I28="",AD28=""),"",ABS(J28-L28)*I28*AD28*AE28)</f>
        <v>99.99999999999788</v>
      </c>
      <c r="T28" s="29">
        <f>IF(OR(R28="",S28="",S28=0),"",R28/S28)</f>
        <v>2.3720000000000523</v>
      </c>
      <c r="U28" s="20" t="str">
        <f>IF(R28="","",IF(R28&gt;0,"Ganadora",IF(R28&lt;0,"Perdedora","BE")))</f>
        <v>Ganadora</v>
      </c>
      <c r="V28" s="23" t="inlineStr">
        <is>
          <t>Continuación</t>
        </is>
      </c>
      <c r="W28" s="23" t="inlineStr">
        <is>
          <t>Londres</t>
        </is>
      </c>
      <c r="X28" s="23" t="inlineStr">
        <is>
          <t>Ninguno</t>
        </is>
      </c>
      <c r="Y28" s="23" t="inlineStr">
        <is>
          <t>Tranquilo</t>
        </is>
      </c>
      <c r="Z28" s="23" t="inlineStr">
        <is>
          <t>Sí</t>
        </is>
      </c>
      <c r="AA28" s="23" t="inlineStr">
        <is>
          <t>Debí no operar: poco volumen.</t>
        </is>
      </c>
      <c r="AB28" s="30" t="n"/>
      <c r="AC28" s="1" t="n"/>
      <c r="AD28" s="1">
        <f>IF(G28="","",IFERROR(INDEX('Listas'!$N$6:$N$35,MATCH(G28,'Listas'!$M$6:$M$35,0)),""))</f>
        <v>100000</v>
      </c>
      <c r="AE28">
        <f>IF(G28="",1,IFERROR(INDEX('Listas'!$P$6:$P$35,MATCH(G28,'Listas'!$M$6:$M$35,0)),1))</f>
        <v>1</v>
      </c>
      <c r="AF28">
        <f>IF(H28="Compra",1,IF(H28="Venta",-1,0))</f>
        <v>-1</v>
      </c>
      <c r="AG28">
        <f>IF(AND(D28&lt;&gt;"",ISNUMBER(R28)),1,0)</f>
        <v>1</v>
      </c>
      <c r="AH28">
        <f>IF(AG28=0,0,IF(OR('Panel'!$D$5="Todas las cuentas",'Panel'!$D$5="",F28='Panel'!$D$5),1,0))</f>
        <v>1</v>
      </c>
      <c r="AI28">
        <f>IF(AH28=0,0,IF(AND(OR('Panel'!$G$5="",D28&gt;='Panel'!$G$5),OR('Panel'!$J$5="",D28&lt;='Panel'!$J$5)),1,0))</f>
        <v>1</v>
      </c>
      <c r="AJ28">
        <f>IF(AI28=1,R28,0)</f>
        <v>237.20000000000022</v>
      </c>
      <c r="AK28">
        <f>IF(AI28=1,'Panel'!$AB$4+SUM($AJ$5:AJ28),"")</f>
        <v>21052.961500000034</v>
      </c>
      <c r="AL28">
        <f>IF(AI28=0,N(AL27),IF(R28&lt;0,N(AL27)+1,0))</f>
        <v>0</v>
      </c>
      <c r="AM28">
        <f>IF(AI28=0,N(AM27),IF(R28&gt;0,N(AM27)+1,0))</f>
        <v>1</v>
      </c>
      <c r="AN28">
        <f>IF(AI28=1,MAX('Panel'!$AB$4,N(AN27),AK28),N(AN27))</f>
        <v>21052.961500000034</v>
      </c>
      <c r="AO28">
        <f>IF(AI28=1,AN28-AK28,0)</f>
        <v>0</v>
      </c>
      <c r="AP28">
        <f>IF(AND(AI28=1,AN28&gt;0),AO28/AN28,0)</f>
        <v>0</v>
      </c>
      <c r="AQ28">
        <f>IF(AI28=1,SUM($AI$5:AI28),"")</f>
        <v>24</v>
      </c>
      <c r="AR28">
        <f>IF(AI28=1,IF(COUNTIFS($D$5:D28,D28,$AI$5:AI28,1)=1,SUMIFS($AJ$5:$AJ$504,$D$5:$D$504,D28),""),"")</f>
        <v>237.20000000000022</v>
      </c>
      <c r="AS28">
        <f>IF(AG28=1,WEEKDAY(D28,2),"")</f>
        <v>4</v>
      </c>
      <c r="AT28" s="31">
        <f>IF(AG28=1,DATE(YEAR(D28),MONTH(D28),1),"")</f>
        <v>46296</v>
      </c>
      <c r="AU28">
        <f>IF(AG28=0,0,IF(AND(OR('Prop challenge'!$D$7="",F28='Prop challenge'!$D$7),OR('Prop challenge'!$D$9="",D28&gt;='Prop challenge'!$D$9)),1,0))</f>
        <v>1</v>
      </c>
      <c r="AV28">
        <f>IF(AU28=1,IF(COUNTIFS($D$5:D28,D28,$AU$5:AU28,1)=1,1,0),0)</f>
        <v>1</v>
      </c>
      <c r="AW28">
        <f>IF(AV28=1,SUM($AV$5:AV28),"")</f>
        <v>4</v>
      </c>
      <c r="AX28">
        <f>IF(AV28=1,SUMIFS($R$5:$R$504,$D$5:$D$504,D28,$AU$5:$AU$504,1),"")</f>
        <v>237.20000000000022</v>
      </c>
    </row>
    <row r="29">
      <c r="A29" s="20">
        <f>IF(AG29=1,ROW()-4,"")</f>
        <v>25</v>
      </c>
      <c r="B29" s="21" t="n">
        <v>46304</v>
      </c>
      <c r="C29" s="22" t="n">
        <v>0.3333333333333333</v>
      </c>
      <c r="D29" s="21" t="n">
        <v>46304</v>
      </c>
      <c r="E29" s="22" t="n">
        <v>0.4131944444444444</v>
      </c>
      <c r="F29" s="23" t="inlineStr">
        <is>
          <t>Personal</t>
        </is>
      </c>
      <c r="G29" s="23" t="inlineStr">
        <is>
          <t>EURUSD</t>
        </is>
      </c>
      <c r="H29" s="23" t="inlineStr">
        <is>
          <t>Compra</t>
        </is>
      </c>
      <c r="I29" s="24" t="n">
        <v>0.5</v>
      </c>
      <c r="J29" s="25" t="n">
        <v>1.10317</v>
      </c>
      <c r="K29" s="25" t="n">
        <v>1.10437</v>
      </c>
      <c r="L29" s="25" t="n">
        <v>1.10117</v>
      </c>
      <c r="M29" s="25" t="n">
        <v>1.10717</v>
      </c>
      <c r="N29" s="26" t="n">
        <v>3.5</v>
      </c>
      <c r="O29" s="26" t="n">
        <v>0</v>
      </c>
      <c r="P29" s="27">
        <f>IF(OR(J29="",K29="",I29="",AF29=0,AD29=""),"",(K29-J29)*AF29*I29*AD29*AE29)</f>
        <v>60.00000000000449</v>
      </c>
      <c r="Q29" s="26" t="n"/>
      <c r="R29" s="28">
        <f>IF(Q29&lt;&gt;"",Q29,IF(P29="","",P29-N(N29)+N(O29)))</f>
        <v>56.50000000000449</v>
      </c>
      <c r="S29" s="27">
        <f>IF(OR(L29="",J29="",I29="",AD29=""),"",ABS(J29-L29)*I29*AD29*AE29)</f>
        <v>100.00000000000009</v>
      </c>
      <c r="T29" s="29">
        <f>IF(OR(R29="",S29="",S29=0),"",R29/S29)</f>
        <v>0.5650000000000445</v>
      </c>
      <c r="U29" s="20" t="str">
        <f>IF(R29="","",IF(R29&gt;0,"Ganadora",IF(R29&lt;0,"Perdedora","BE")))</f>
        <v>Ganadora</v>
      </c>
      <c r="V29" s="23" t="inlineStr">
        <is>
          <t>Pullback</t>
        </is>
      </c>
      <c r="W29" s="23" t="inlineStr">
        <is>
          <t>Londres</t>
        </is>
      </c>
      <c r="X29" s="23" t="inlineStr">
        <is>
          <t>Ninguno</t>
        </is>
      </c>
      <c r="Y29" s="23" t="inlineStr">
        <is>
          <t>Tranquilo</t>
        </is>
      </c>
      <c r="Z29" s="23" t="inlineStr">
        <is>
          <t>Sí</t>
        </is>
      </c>
      <c r="AA29" s="23" t="inlineStr">
        <is>
          <t>Esperé el retest, entrada limpia.</t>
        </is>
      </c>
      <c r="AB29" s="30" t="n"/>
      <c r="AC29" s="1" t="n"/>
      <c r="AD29" s="1">
        <f>IF(G29="","",IFERROR(INDEX('Listas'!$N$6:$N$35,MATCH(G29,'Listas'!$M$6:$M$35,0)),""))</f>
        <v>100000</v>
      </c>
      <c r="AE29">
        <f>IF(G29="",1,IFERROR(INDEX('Listas'!$P$6:$P$35,MATCH(G29,'Listas'!$M$6:$M$35,0)),1))</f>
        <v>1</v>
      </c>
      <c r="AF29">
        <f>IF(H29="Compra",1,IF(H29="Venta",-1,0))</f>
        <v>1</v>
      </c>
      <c r="AG29">
        <f>IF(AND(D29&lt;&gt;"",ISNUMBER(R29)),1,0)</f>
        <v>1</v>
      </c>
      <c r="AH29">
        <f>IF(AG29=0,0,IF(OR('Panel'!$D$5="Todas las cuentas",'Panel'!$D$5="",F29='Panel'!$D$5),1,0))</f>
        <v>1</v>
      </c>
      <c r="AI29">
        <f>IF(AH29=0,0,IF(AND(OR('Panel'!$G$5="",D29&gt;='Panel'!$G$5),OR('Panel'!$J$5="",D29&lt;='Panel'!$J$5)),1,0))</f>
        <v>1</v>
      </c>
      <c r="AJ29">
        <f>IF(AI29=1,R29,0)</f>
        <v>56.50000000000449</v>
      </c>
      <c r="AK29">
        <f>IF(AI29=1,'Panel'!$AB$4+SUM($AJ$5:AJ29),"")</f>
        <v>21109.461500000038</v>
      </c>
      <c r="AL29">
        <f>IF(AI29=0,N(AL28),IF(R29&lt;0,N(AL28)+1,0))</f>
        <v>0</v>
      </c>
      <c r="AM29">
        <f>IF(AI29=0,N(AM28),IF(R29&gt;0,N(AM28)+1,0))</f>
        <v>2</v>
      </c>
      <c r="AN29">
        <f>IF(AI29=1,MAX('Panel'!$AB$4,N(AN28),AK29),N(AN28))</f>
        <v>21109.461500000038</v>
      </c>
      <c r="AO29">
        <f>IF(AI29=1,AN29-AK29,0)</f>
        <v>0</v>
      </c>
      <c r="AP29">
        <f>IF(AND(AI29=1,AN29&gt;0),AO29/AN29,0)</f>
        <v>0</v>
      </c>
      <c r="AQ29">
        <f>IF(AI29=1,SUM($AI$5:AI29),"")</f>
        <v>25</v>
      </c>
      <c r="AR29">
        <f>IF(AI29=1,IF(COUNTIFS($D$5:D29,D29,$AI$5:AI29,1)=1,SUMIFS($AJ$5:$AJ$504,$D$5:$D$504,D29),""),"")</f>
        <v>56.50000000000449</v>
      </c>
      <c r="AS29">
        <f>IF(AG29=1,WEEKDAY(D29,2),"")</f>
        <v>5</v>
      </c>
      <c r="AT29" s="31">
        <f>IF(AG29=1,DATE(YEAR(D29),MONTH(D29),1),"")</f>
        <v>46296</v>
      </c>
      <c r="AU29">
        <f>IF(AG29=0,0,IF(AND(OR('Prop challenge'!$D$7="",F29='Prop challenge'!$D$7),OR('Prop challenge'!$D$9="",D29&gt;='Prop challenge'!$D$9)),1,0))</f>
        <v>0</v>
      </c>
      <c r="AV29">
        <f>IF(AU29=1,IF(COUNTIFS($D$5:D29,D29,$AU$5:AU29,1)=1,1,0),0)</f>
        <v>0</v>
      </c>
      <c r="AW29" t="str">
        <f>IF(AV29=1,SUM($AV$5:AV29),"")</f>
        <v/>
      </c>
      <c r="AX29" t="str">
        <f>IF(AV29=1,SUMIFS($R$5:$R$504,$D$5:$D$504,D29,$AU$5:$AU$504,1),"")</f>
        <v/>
      </c>
    </row>
    <row r="30">
      <c r="A30" s="20">
        <f>IF(AG30=1,ROW()-4,"")</f>
        <v>26</v>
      </c>
      <c r="B30" s="21" t="n">
        <v>46307</v>
      </c>
      <c r="C30" s="22" t="n">
        <v>0.3784722222222222</v>
      </c>
      <c r="D30" s="21" t="n">
        <v>46307</v>
      </c>
      <c r="E30" s="22" t="n">
        <v>0.4236111111111111</v>
      </c>
      <c r="F30" s="23" t="inlineStr">
        <is>
          <t>Challenge 10K</t>
        </is>
      </c>
      <c r="G30" s="23" t="inlineStr">
        <is>
          <t>NAS100</t>
        </is>
      </c>
      <c r="H30" s="23" t="inlineStr">
        <is>
          <t>Venta</t>
        </is>
      </c>
      <c r="I30" s="24" t="n">
        <v>1.5</v>
      </c>
      <c r="J30" s="25" t="n">
        <v>25479.9</v>
      </c>
      <c r="K30" s="25" t="n">
        <v>25539.9</v>
      </c>
      <c r="L30" s="25" t="n">
        <v>25539.9</v>
      </c>
      <c r="M30" s="25" t="n">
        <v>25359.9</v>
      </c>
      <c r="N30" s="26" t="n">
        <v>0</v>
      </c>
      <c r="O30" s="26" t="n">
        <v>0</v>
      </c>
      <c r="P30" s="27">
        <f>IF(OR(J30="",K30="",I30="",AF30=0,AD30=""),"",(K30-J30)*AF30*I30*AD30*AE30)</f>
        <v>-90</v>
      </c>
      <c r="Q30" s="26" t="n"/>
      <c r="R30" s="28">
        <f>IF(Q30&lt;&gt;"",Q30,IF(P30="","",P30-N(N30)+N(O30)))</f>
        <v>-90</v>
      </c>
      <c r="S30" s="27">
        <f>IF(OR(L30="",J30="",I30="",AD30=""),"",ABS(J30-L30)*I30*AD30*AE30)</f>
        <v>90</v>
      </c>
      <c r="T30" s="29">
        <f>IF(OR(R30="",S30="",S30=0),"",R30/S30)</f>
        <v>-1</v>
      </c>
      <c r="U30" s="20" t="str">
        <f>IF(R30="","",IF(R30&gt;0,"Ganadora",IF(R30&lt;0,"Perdedora","BE")))</f>
        <v>Perdedora</v>
      </c>
      <c r="V30" s="23" t="inlineStr">
        <is>
          <t>Ruptura</t>
        </is>
      </c>
      <c r="W30" s="23" t="inlineStr">
        <is>
          <t>Londres</t>
        </is>
      </c>
      <c r="X30" s="23" t="inlineStr">
        <is>
          <t>Moví el stop</t>
        </is>
      </c>
      <c r="Y30" s="23" t="inlineStr">
        <is>
          <t>Miedo</t>
        </is>
      </c>
      <c r="Z30" s="23" t="inlineStr">
        <is>
          <t>No</t>
        </is>
      </c>
      <c r="AA30" s="23" t="inlineStr">
        <is>
          <t>Entré antes de la confirmación.</t>
        </is>
      </c>
      <c r="AB30" s="30" t="n"/>
      <c r="AC30" s="1" t="n"/>
      <c r="AD30" s="1">
        <f>IF(G30="","",IFERROR(INDEX('Listas'!$N$6:$N$35,MATCH(G30,'Listas'!$M$6:$M$35,0)),""))</f>
        <v>1</v>
      </c>
      <c r="AE30">
        <f>IF(G30="",1,IFERROR(INDEX('Listas'!$P$6:$P$35,MATCH(G30,'Listas'!$M$6:$M$35,0)),1))</f>
        <v>1</v>
      </c>
      <c r="AF30">
        <f>IF(H30="Compra",1,IF(H30="Venta",-1,0))</f>
        <v>-1</v>
      </c>
      <c r="AG30">
        <f>IF(AND(D30&lt;&gt;"",ISNUMBER(R30)),1,0)</f>
        <v>1</v>
      </c>
      <c r="AH30">
        <f>IF(AG30=0,0,IF(OR('Panel'!$D$5="Todas las cuentas",'Panel'!$D$5="",F30='Panel'!$D$5),1,0))</f>
        <v>1</v>
      </c>
      <c r="AI30">
        <f>IF(AH30=0,0,IF(AND(OR('Panel'!$G$5="",D30&gt;='Panel'!$G$5),OR('Panel'!$J$5="",D30&lt;='Panel'!$J$5)),1,0))</f>
        <v>1</v>
      </c>
      <c r="AJ30">
        <f>IF(AI30=1,R30,0)</f>
        <v>-90</v>
      </c>
      <c r="AK30">
        <f>IF(AI30=1,'Panel'!$AB$4+SUM($AJ$5:AJ30),"")</f>
        <v>21019.461500000038</v>
      </c>
      <c r="AL30">
        <f>IF(AI30=0,N(AL29),IF(R30&lt;0,N(AL29)+1,0))</f>
        <v>1</v>
      </c>
      <c r="AM30">
        <f>IF(AI30=0,N(AM29),IF(R30&gt;0,N(AM29)+1,0))</f>
        <v>0</v>
      </c>
      <c r="AN30">
        <f>IF(AI30=1,MAX('Panel'!$AB$4,N(AN29),AK30),N(AN29))</f>
        <v>21109.461500000038</v>
      </c>
      <c r="AO30">
        <f>IF(AI30=1,AN30-AK30,0)</f>
        <v>90</v>
      </c>
      <c r="AP30">
        <f>IF(AND(AI30=1,AN30&gt;0),AO30/AN30,0)</f>
        <v>0.004263491041682889</v>
      </c>
      <c r="AQ30">
        <f>IF(AI30=1,SUM($AI$5:AI30),"")</f>
        <v>26</v>
      </c>
      <c r="AR30">
        <f>IF(AI30=1,IF(COUNTIFS($D$5:D30,D30,$AI$5:AI30,1)=1,SUMIFS($AJ$5:$AJ$504,$D$5:$D$504,D30),""),"")</f>
        <v>-90</v>
      </c>
      <c r="AS30">
        <f>IF(AG30=1,WEEKDAY(D30,2),"")</f>
        <v>1</v>
      </c>
      <c r="AT30" s="31">
        <f>IF(AG30=1,DATE(YEAR(D30),MONTH(D30),1),"")</f>
        <v>46296</v>
      </c>
      <c r="AU30">
        <f>IF(AG30=0,0,IF(AND(OR('Prop challenge'!$D$7="",F30='Prop challenge'!$D$7),OR('Prop challenge'!$D$9="",D30&gt;='Prop challenge'!$D$9)),1,0))</f>
        <v>1</v>
      </c>
      <c r="AV30">
        <f>IF(AU30=1,IF(COUNTIFS($D$5:D30,D30,$AU$5:AU30,1)=1,1,0),0)</f>
        <v>1</v>
      </c>
      <c r="AW30">
        <f>IF(AV30=1,SUM($AV$5:AV30),"")</f>
        <v>5</v>
      </c>
      <c r="AX30">
        <f>IF(AV30=1,SUMIFS($R$5:$R$504,$D$5:$D$504,D30,$AU$5:$AU$504,1),"")</f>
        <v>-90</v>
      </c>
    </row>
    <row r="31">
      <c r="A31" s="20">
        <f>IF(AG31=1,ROW()-4,"")</f>
        <v>27</v>
      </c>
      <c r="B31" s="21" t="n">
        <v>46308</v>
      </c>
      <c r="C31" s="22" t="n">
        <v>0.3368055555555556</v>
      </c>
      <c r="D31" s="21" t="n">
        <v>46308</v>
      </c>
      <c r="E31" s="22" t="n">
        <v>0.3611111111111111</v>
      </c>
      <c r="F31" s="23" t="inlineStr">
        <is>
          <t>Challenge 10K</t>
        </is>
      </c>
      <c r="G31" s="23" t="inlineStr">
        <is>
          <t>GBPUSD</t>
        </is>
      </c>
      <c r="H31" s="23" t="inlineStr">
        <is>
          <t>Venta</t>
        </is>
      </c>
      <c r="I31" s="24" t="n">
        <v>0.4</v>
      </c>
      <c r="J31" s="25" t="n">
        <v>1.34193</v>
      </c>
      <c r="K31" s="25" t="n">
        <v>1.33718</v>
      </c>
      <c r="L31" s="25" t="n">
        <v>1.34443</v>
      </c>
      <c r="M31" s="25" t="n">
        <v>1.33693</v>
      </c>
      <c r="N31" s="26" t="n">
        <v>2.8</v>
      </c>
      <c r="O31" s="26" t="n">
        <v>0</v>
      </c>
      <c r="P31" s="27">
        <f>IF(OR(J31="",K31="",I31="",AF31=0,AD31=""),"",(K31-J31)*AF31*I31*AD31*AE31)</f>
        <v>190.00000000000128</v>
      </c>
      <c r="Q31" s="26" t="n"/>
      <c r="R31" s="28">
        <f>IF(Q31&lt;&gt;"",Q31,IF(P31="","",P31-N(N31)+N(O31)))</f>
        <v>187.20000000000127</v>
      </c>
      <c r="S31" s="27">
        <f>IF(OR(L31="",J31="",I31="",AD31=""),"",ABS(J31-L31)*I31*AD31*AE31)</f>
        <v>99.99999999999788</v>
      </c>
      <c r="T31" s="29">
        <f>IF(OR(R31="",S31="",S31=0),"",R31/S31)</f>
        <v>1.8720000000000523</v>
      </c>
      <c r="U31" s="20" t="str">
        <f>IF(R31="","",IF(R31&gt;0,"Ganadora",IF(R31&lt;0,"Perdedora","BE")))</f>
        <v>Ganadora</v>
      </c>
      <c r="V31" s="23" t="inlineStr">
        <is>
          <t>Pullback</t>
        </is>
      </c>
      <c r="W31" s="23" t="inlineStr">
        <is>
          <t>Londres</t>
        </is>
      </c>
      <c r="X31" s="23" t="inlineStr">
        <is>
          <t>Ninguno</t>
        </is>
      </c>
      <c r="Y31" s="23" t="inlineStr">
        <is>
          <t>Tranquilo</t>
        </is>
      </c>
      <c r="Z31" s="23" t="inlineStr">
        <is>
          <t>Sí</t>
        </is>
      </c>
      <c r="AA31" s="23" t="inlineStr">
        <is>
          <t>Parcial en 1R, el resto en objetivo.</t>
        </is>
      </c>
      <c r="AB31" s="30" t="n"/>
      <c r="AC31" s="1" t="n"/>
      <c r="AD31" s="1">
        <f>IF(G31="","",IFERROR(INDEX('Listas'!$N$6:$N$35,MATCH(G31,'Listas'!$M$6:$M$35,0)),""))</f>
        <v>100000</v>
      </c>
      <c r="AE31">
        <f>IF(G31="",1,IFERROR(INDEX('Listas'!$P$6:$P$35,MATCH(G31,'Listas'!$M$6:$M$35,0)),1))</f>
        <v>1</v>
      </c>
      <c r="AF31">
        <f>IF(H31="Compra",1,IF(H31="Venta",-1,0))</f>
        <v>-1</v>
      </c>
      <c r="AG31">
        <f>IF(AND(D31&lt;&gt;"",ISNUMBER(R31)),1,0)</f>
        <v>1</v>
      </c>
      <c r="AH31">
        <f>IF(AG31=0,0,IF(OR('Panel'!$D$5="Todas las cuentas",'Panel'!$D$5="",F31='Panel'!$D$5),1,0))</f>
        <v>1</v>
      </c>
      <c r="AI31">
        <f>IF(AH31=0,0,IF(AND(OR('Panel'!$G$5="",D31&gt;='Panel'!$G$5),OR('Panel'!$J$5="",D31&lt;='Panel'!$J$5)),1,0))</f>
        <v>1</v>
      </c>
      <c r="AJ31">
        <f>IF(AI31=1,R31,0)</f>
        <v>187.20000000000127</v>
      </c>
      <c r="AK31">
        <f>IF(AI31=1,'Panel'!$AB$4+SUM($AJ$5:AJ31),"")</f>
        <v>21206.66150000004</v>
      </c>
      <c r="AL31">
        <f>IF(AI31=0,N(AL30),IF(R31&lt;0,N(AL30)+1,0))</f>
        <v>0</v>
      </c>
      <c r="AM31">
        <f>IF(AI31=0,N(AM30),IF(R31&gt;0,N(AM30)+1,0))</f>
        <v>1</v>
      </c>
      <c r="AN31">
        <f>IF(AI31=1,MAX('Panel'!$AB$4,N(AN30),AK31),N(AN30))</f>
        <v>21206.66150000004</v>
      </c>
      <c r="AO31">
        <f>IF(AI31=1,AN31-AK31,0)</f>
        <v>0</v>
      </c>
      <c r="AP31">
        <f>IF(AND(AI31=1,AN31&gt;0),AO31/AN31,0)</f>
        <v>0</v>
      </c>
      <c r="AQ31">
        <f>IF(AI31=1,SUM($AI$5:AI31),"")</f>
        <v>27</v>
      </c>
      <c r="AR31">
        <f>IF(AI31=1,IF(COUNTIFS($D$5:D31,D31,$AI$5:AI31,1)=1,SUMIFS($AJ$5:$AJ$504,$D$5:$D$504,D31),""),"")</f>
        <v>187.20000000000127</v>
      </c>
      <c r="AS31">
        <f>IF(AG31=1,WEEKDAY(D31,2),"")</f>
        <v>2</v>
      </c>
      <c r="AT31" s="31">
        <f>IF(AG31=1,DATE(YEAR(D31),MONTH(D31),1),"")</f>
        <v>46296</v>
      </c>
      <c r="AU31">
        <f>IF(AG31=0,0,IF(AND(OR('Prop challenge'!$D$7="",F31='Prop challenge'!$D$7),OR('Prop challenge'!$D$9="",D31&gt;='Prop challenge'!$D$9)),1,0))</f>
        <v>1</v>
      </c>
      <c r="AV31">
        <f>IF(AU31=1,IF(COUNTIFS($D$5:D31,D31,$AU$5:AU31,1)=1,1,0),0)</f>
        <v>1</v>
      </c>
      <c r="AW31">
        <f>IF(AV31=1,SUM($AV$5:AV31),"")</f>
        <v>6</v>
      </c>
      <c r="AX31">
        <f>IF(AV31=1,SUMIFS($R$5:$R$504,$D$5:$D$504,D31,$AU$5:$AU$504,1),"")</f>
        <v>187.20000000000127</v>
      </c>
    </row>
    <row r="32">
      <c r="A32" s="20">
        <f>IF(AG32=1,ROW()-4,"")</f>
        <v>28</v>
      </c>
      <c r="B32" s="21" t="n">
        <v>46309</v>
      </c>
      <c r="C32" s="22" t="n">
        <v>0.4201388888888889</v>
      </c>
      <c r="D32" s="21" t="n">
        <v>46309</v>
      </c>
      <c r="E32" s="22" t="n">
        <v>0.4444444444444444</v>
      </c>
      <c r="F32" s="23" t="inlineStr">
        <is>
          <t>Personal</t>
        </is>
      </c>
      <c r="G32" s="23" t="inlineStr">
        <is>
          <t>GBPUSD</t>
        </is>
      </c>
      <c r="H32" s="23" t="inlineStr">
        <is>
          <t>Venta</t>
        </is>
      </c>
      <c r="I32" s="24" t="n">
        <v>0.4</v>
      </c>
      <c r="J32" s="25" t="n">
        <v>1.3226</v>
      </c>
      <c r="K32" s="25" t="n">
        <v>1.3236</v>
      </c>
      <c r="L32" s="25" t="n">
        <v>1.3251</v>
      </c>
      <c r="M32" s="25" t="n">
        <v>1.3176</v>
      </c>
      <c r="N32" s="26" t="n">
        <v>2.8</v>
      </c>
      <c r="O32" s="26" t="n">
        <v>0</v>
      </c>
      <c r="P32" s="27">
        <f>IF(OR(J32="",K32="",I32="",AF32=0,AD32=""),"",(K32-J32)*AF32*I32*AD32*AE32)</f>
        <v>-40.000000000004476</v>
      </c>
      <c r="Q32" s="26" t="n"/>
      <c r="R32" s="28">
        <f>IF(Q32&lt;&gt;"",Q32,IF(P32="","",P32-N(N32)+N(O32)))</f>
        <v>-42.800000000004474</v>
      </c>
      <c r="S32" s="27">
        <f>IF(OR(L32="",J32="",I32="",AD32=""),"",ABS(J32-L32)*I32*AD32*AE32)</f>
        <v>99.99999999999788</v>
      </c>
      <c r="T32" s="29">
        <f>IF(OR(R32="",S32="",S32=0),"",R32/S32)</f>
        <v>-0.4280000000000538</v>
      </c>
      <c r="U32" s="20" t="str">
        <f>IF(R32="","",IF(R32&gt;0,"Ganadora",IF(R32&lt;0,"Perdedora","BE")))</f>
        <v>Perdedora</v>
      </c>
      <c r="V32" s="23" t="inlineStr">
        <is>
          <t>Continuación</t>
        </is>
      </c>
      <c r="W32" s="23" t="inlineStr">
        <is>
          <t>Londres</t>
        </is>
      </c>
      <c r="X32" s="23" t="inlineStr">
        <is>
          <t>Entrada por FOMO</t>
        </is>
      </c>
      <c r="Y32" s="23" t="inlineStr">
        <is>
          <t>Miedo</t>
        </is>
      </c>
      <c r="Z32" s="23" t="inlineStr">
        <is>
          <t>No</t>
        </is>
      </c>
      <c r="AA32" s="23" t="inlineStr">
        <is>
          <t>Un pico de noticias me sacó por stop.</t>
        </is>
      </c>
      <c r="AB32" s="30" t="n"/>
      <c r="AC32" s="1" t="n"/>
      <c r="AD32" s="1">
        <f>IF(G32="","",IFERROR(INDEX('Listas'!$N$6:$N$35,MATCH(G32,'Listas'!$M$6:$M$35,0)),""))</f>
        <v>100000</v>
      </c>
      <c r="AE32">
        <f>IF(G32="",1,IFERROR(INDEX('Listas'!$P$6:$P$35,MATCH(G32,'Listas'!$M$6:$M$35,0)),1))</f>
        <v>1</v>
      </c>
      <c r="AF32">
        <f>IF(H32="Compra",1,IF(H32="Venta",-1,0))</f>
        <v>-1</v>
      </c>
      <c r="AG32">
        <f>IF(AND(D32&lt;&gt;"",ISNUMBER(R32)),1,0)</f>
        <v>1</v>
      </c>
      <c r="AH32">
        <f>IF(AG32=0,0,IF(OR('Panel'!$D$5="Todas las cuentas",'Panel'!$D$5="",F32='Panel'!$D$5),1,0))</f>
        <v>1</v>
      </c>
      <c r="AI32">
        <f>IF(AH32=0,0,IF(AND(OR('Panel'!$G$5="",D32&gt;='Panel'!$G$5),OR('Panel'!$J$5="",D32&lt;='Panel'!$J$5)),1,0))</f>
        <v>1</v>
      </c>
      <c r="AJ32">
        <f>IF(AI32=1,R32,0)</f>
        <v>-42.800000000004474</v>
      </c>
      <c r="AK32">
        <f>IF(AI32=1,'Panel'!$AB$4+SUM($AJ$5:AJ32),"")</f>
        <v>21163.861500000035</v>
      </c>
      <c r="AL32">
        <f>IF(AI32=0,N(AL31),IF(R32&lt;0,N(AL31)+1,0))</f>
        <v>1</v>
      </c>
      <c r="AM32">
        <f>IF(AI32=0,N(AM31),IF(R32&gt;0,N(AM31)+1,0))</f>
        <v>0</v>
      </c>
      <c r="AN32">
        <f>IF(AI32=1,MAX('Panel'!$AB$4,N(AN31),AK32),N(AN31))</f>
        <v>21206.66150000004</v>
      </c>
      <c r="AO32">
        <f>IF(AI32=1,AN32-AK32,0)</f>
        <v>42.80000000000291</v>
      </c>
      <c r="AP32">
        <f>IF(AND(AI32=1,AN32&gt;0),AO32/AN32,0)</f>
        <v>0.0020182337516917895</v>
      </c>
      <c r="AQ32">
        <f>IF(AI32=1,SUM($AI$5:AI32),"")</f>
        <v>28</v>
      </c>
      <c r="AR32">
        <f>IF(AI32=1,IF(COUNTIFS($D$5:D32,D32,$AI$5:AI32,1)=1,SUMIFS($AJ$5:$AJ$504,$D$5:$D$504,D32),""),"")</f>
        <v>-42.800000000004474</v>
      </c>
      <c r="AS32">
        <f>IF(AG32=1,WEEKDAY(D32,2),"")</f>
        <v>3</v>
      </c>
      <c r="AT32" s="31">
        <f>IF(AG32=1,DATE(YEAR(D32),MONTH(D32),1),"")</f>
        <v>46296</v>
      </c>
      <c r="AU32">
        <f>IF(AG32=0,0,IF(AND(OR('Prop challenge'!$D$7="",F32='Prop challenge'!$D$7),OR('Prop challenge'!$D$9="",D32&gt;='Prop challenge'!$D$9)),1,0))</f>
        <v>0</v>
      </c>
      <c r="AV32">
        <f>IF(AU32=1,IF(COUNTIFS($D$5:D32,D32,$AU$5:AU32,1)=1,1,0),0)</f>
        <v>0</v>
      </c>
      <c r="AW32" t="str">
        <f>IF(AV32=1,SUM($AV$5:AV32),"")</f>
        <v/>
      </c>
      <c r="AX32" t="str">
        <f>IF(AV32=1,SUMIFS($R$5:$R$504,$D$5:$D$504,D32,$AU$5:$AU$504,1),"")</f>
        <v/>
      </c>
    </row>
    <row r="33">
      <c r="A33" s="20">
        <f>IF(AG33=1,ROW()-4,"")</f>
        <v>29</v>
      </c>
      <c r="B33" s="21" t="n">
        <v>46310</v>
      </c>
      <c r="C33" s="22" t="n">
        <v>0.6701388888888888</v>
      </c>
      <c r="D33" s="21" t="n">
        <v>46310</v>
      </c>
      <c r="E33" s="22" t="n">
        <v>0.6805555555555556</v>
      </c>
      <c r="F33" s="23" t="inlineStr">
        <is>
          <t>Challenge 10K</t>
        </is>
      </c>
      <c r="G33" s="23" t="inlineStr">
        <is>
          <t>GBPUSD</t>
        </is>
      </c>
      <c r="H33" s="23" t="inlineStr">
        <is>
          <t>Compra</t>
        </is>
      </c>
      <c r="I33" s="24" t="n">
        <v>0.4</v>
      </c>
      <c r="J33" s="25" t="n">
        <v>1.33891</v>
      </c>
      <c r="K33" s="25" t="n">
        <v>1.34416</v>
      </c>
      <c r="L33" s="25" t="n">
        <v>1.33641</v>
      </c>
      <c r="M33" s="25" t="n">
        <v>1.34391</v>
      </c>
      <c r="N33" s="26" t="n">
        <v>2.8</v>
      </c>
      <c r="O33" s="26" t="n">
        <v>0</v>
      </c>
      <c r="P33" s="27">
        <f>IF(OR(J33="",K33="",I33="",AF33=0,AD33=""),"",(K33-J33)*AF33*I33*AD33*AE33)</f>
        <v>209.9999999999991</v>
      </c>
      <c r="Q33" s="26" t="n"/>
      <c r="R33" s="28">
        <f>IF(Q33&lt;&gt;"",Q33,IF(P33="","",P33-N(N33)+N(O33)))</f>
        <v>207.19999999999908</v>
      </c>
      <c r="S33" s="27">
        <f>IF(OR(L33="",J33="",I33="",AD33=""),"",ABS(J33-L33)*I33*AD33*AE33)</f>
        <v>99.99999999999788</v>
      </c>
      <c r="T33" s="29">
        <f>IF(OR(R33="",S33="",S33=0),"",R33/S33)</f>
        <v>2.0720000000000347</v>
      </c>
      <c r="U33" s="20" t="str">
        <f>IF(R33="","",IF(R33&gt;0,"Ganadora",IF(R33&lt;0,"Perdedora","BE")))</f>
        <v>Ganadora</v>
      </c>
      <c r="V33" s="23" t="inlineStr">
        <is>
          <t>Pullback</t>
        </is>
      </c>
      <c r="W33" s="23" t="inlineStr">
        <is>
          <t>Nueva York</t>
        </is>
      </c>
      <c r="X33" s="23" t="inlineStr">
        <is>
          <t>Ninguno</t>
        </is>
      </c>
      <c r="Y33" s="23" t="inlineStr">
        <is>
          <t>Tranquilo</t>
        </is>
      </c>
      <c r="Z33" s="23" t="inlineStr">
        <is>
          <t>Sí</t>
        </is>
      </c>
      <c r="AA33" s="23" t="inlineStr">
        <is>
          <t>Seguí el plan al pie de la letra.</t>
        </is>
      </c>
      <c r="AB33" s="30" t="n"/>
      <c r="AC33" s="1" t="n"/>
      <c r="AD33" s="1">
        <f>IF(G33="","",IFERROR(INDEX('Listas'!$N$6:$N$35,MATCH(G33,'Listas'!$M$6:$M$35,0)),""))</f>
        <v>100000</v>
      </c>
      <c r="AE33">
        <f>IF(G33="",1,IFERROR(INDEX('Listas'!$P$6:$P$35,MATCH(G33,'Listas'!$M$6:$M$35,0)),1))</f>
        <v>1</v>
      </c>
      <c r="AF33">
        <f>IF(H33="Compra",1,IF(H33="Venta",-1,0))</f>
        <v>1</v>
      </c>
      <c r="AG33">
        <f>IF(AND(D33&lt;&gt;"",ISNUMBER(R33)),1,0)</f>
        <v>1</v>
      </c>
      <c r="AH33">
        <f>IF(AG33=0,0,IF(OR('Panel'!$D$5="Todas las cuentas",'Panel'!$D$5="",F33='Panel'!$D$5),1,0))</f>
        <v>1</v>
      </c>
      <c r="AI33">
        <f>IF(AH33=0,0,IF(AND(OR('Panel'!$G$5="",D33&gt;='Panel'!$G$5),OR('Panel'!$J$5="",D33&lt;='Panel'!$J$5)),1,0))</f>
        <v>1</v>
      </c>
      <c r="AJ33">
        <f>IF(AI33=1,R33,0)</f>
        <v>207.19999999999908</v>
      </c>
      <c r="AK33">
        <f>IF(AI33=1,'Panel'!$AB$4+SUM($AJ$5:AJ33),"")</f>
        <v>21371.061500000033</v>
      </c>
      <c r="AL33">
        <f>IF(AI33=0,N(AL32),IF(R33&lt;0,N(AL32)+1,0))</f>
        <v>0</v>
      </c>
      <c r="AM33">
        <f>IF(AI33=0,N(AM32),IF(R33&gt;0,N(AM32)+1,0))</f>
        <v>1</v>
      </c>
      <c r="AN33">
        <f>IF(AI33=1,MAX('Panel'!$AB$4,N(AN32),AK33),N(AN32))</f>
        <v>21371.061500000033</v>
      </c>
      <c r="AO33">
        <f>IF(AI33=1,AN33-AK33,0)</f>
        <v>0</v>
      </c>
      <c r="AP33">
        <f>IF(AND(AI33=1,AN33&gt;0),AO33/AN33,0)</f>
        <v>0</v>
      </c>
      <c r="AQ33">
        <f>IF(AI33=1,SUM($AI$5:AI33),"")</f>
        <v>29</v>
      </c>
      <c r="AR33">
        <f>IF(AI33=1,IF(COUNTIFS($D$5:D33,D33,$AI$5:AI33,1)=1,SUMIFS($AJ$5:$AJ$504,$D$5:$D$504,D33),""),"")</f>
        <v>207.19999999999908</v>
      </c>
      <c r="AS33">
        <f>IF(AG33=1,WEEKDAY(D33,2),"")</f>
        <v>4</v>
      </c>
      <c r="AT33" s="31">
        <f>IF(AG33=1,DATE(YEAR(D33),MONTH(D33),1),"")</f>
        <v>46296</v>
      </c>
      <c r="AU33">
        <f>IF(AG33=0,0,IF(AND(OR('Prop challenge'!$D$7="",F33='Prop challenge'!$D$7),OR('Prop challenge'!$D$9="",D33&gt;='Prop challenge'!$D$9)),1,0))</f>
        <v>1</v>
      </c>
      <c r="AV33">
        <f>IF(AU33=1,IF(COUNTIFS($D$5:D33,D33,$AU$5:AU33,1)=1,1,0),0)</f>
        <v>1</v>
      </c>
      <c r="AW33">
        <f>IF(AV33=1,SUM($AV$5:AV33),"")</f>
        <v>7</v>
      </c>
      <c r="AX33">
        <f>IF(AV33=1,SUMIFS($R$5:$R$504,$D$5:$D$504,D33,$AU$5:$AU$504,1),"")</f>
        <v>207.19999999999908</v>
      </c>
    </row>
    <row r="34">
      <c r="A34" s="20">
        <f>IF(AG34=1,ROW()-4,"")</f>
        <v>30</v>
      </c>
      <c r="B34" s="21" t="n">
        <v>46311</v>
      </c>
      <c r="C34" s="22" t="n">
        <v>0.40625</v>
      </c>
      <c r="D34" s="21" t="n">
        <v>46311</v>
      </c>
      <c r="E34" s="22" t="n">
        <v>0.5069444444444444</v>
      </c>
      <c r="F34" s="23" t="inlineStr">
        <is>
          <t>Challenge 10K</t>
        </is>
      </c>
      <c r="G34" s="23" t="inlineStr">
        <is>
          <t>NAS100</t>
        </is>
      </c>
      <c r="H34" s="23" t="inlineStr">
        <is>
          <t>Compra</t>
        </is>
      </c>
      <c r="I34" s="24" t="n">
        <v>1.5</v>
      </c>
      <c r="J34" s="25" t="n">
        <v>25428.7</v>
      </c>
      <c r="K34" s="25" t="n">
        <v>25368.7</v>
      </c>
      <c r="L34" s="25" t="n">
        <v>25368.7</v>
      </c>
      <c r="M34" s="25" t="n">
        <v>25548.7</v>
      </c>
      <c r="N34" s="26" t="n">
        <v>0</v>
      </c>
      <c r="O34" s="26" t="n">
        <v>0</v>
      </c>
      <c r="P34" s="27">
        <f>IF(OR(J34="",K34="",I34="",AF34=0,AD34=""),"",(K34-J34)*AF34*I34*AD34*AE34)</f>
        <v>-90</v>
      </c>
      <c r="Q34" s="26" t="n"/>
      <c r="R34" s="28">
        <f>IF(Q34&lt;&gt;"",Q34,IF(P34="","",P34-N(N34)+N(O34)))</f>
        <v>-90</v>
      </c>
      <c r="S34" s="27">
        <f>IF(OR(L34="",J34="",I34="",AD34=""),"",ABS(J34-L34)*I34*AD34*AE34)</f>
        <v>90</v>
      </c>
      <c r="T34" s="29">
        <f>IF(OR(R34="",S34="",S34=0),"",R34/S34)</f>
        <v>-1</v>
      </c>
      <c r="U34" s="20" t="str">
        <f>IF(R34="","",IF(R34&gt;0,"Ganadora",IF(R34&lt;0,"Perdedora","BE")))</f>
        <v>Perdedora</v>
      </c>
      <c r="V34" s="23" t="inlineStr">
        <is>
          <t>Ruptura</t>
        </is>
      </c>
      <c r="W34" s="23" t="inlineStr">
        <is>
          <t>Londres</t>
        </is>
      </c>
      <c r="X34" s="23" t="inlineStr">
        <is>
          <t>Ninguno</t>
        </is>
      </c>
      <c r="Y34" s="23" t="inlineStr">
        <is>
          <t>Dudoso</t>
        </is>
      </c>
      <c r="Z34" s="23" t="inlineStr">
        <is>
          <t>Sí</t>
        </is>
      </c>
      <c r="AA34" s="23" t="inlineStr">
        <is>
          <t>Debí no operar: poco volumen.</t>
        </is>
      </c>
      <c r="AB34" s="30" t="n"/>
      <c r="AC34" s="1" t="n"/>
      <c r="AD34" s="1">
        <f>IF(G34="","",IFERROR(INDEX('Listas'!$N$6:$N$35,MATCH(G34,'Listas'!$M$6:$M$35,0)),""))</f>
        <v>1</v>
      </c>
      <c r="AE34">
        <f>IF(G34="",1,IFERROR(INDEX('Listas'!$P$6:$P$35,MATCH(G34,'Listas'!$M$6:$M$35,0)),1))</f>
        <v>1</v>
      </c>
      <c r="AF34">
        <f>IF(H34="Compra",1,IF(H34="Venta",-1,0))</f>
        <v>1</v>
      </c>
      <c r="AG34">
        <f>IF(AND(D34&lt;&gt;"",ISNUMBER(R34)),1,0)</f>
        <v>1</v>
      </c>
      <c r="AH34">
        <f>IF(AG34=0,0,IF(OR('Panel'!$D$5="Todas las cuentas",'Panel'!$D$5="",F34='Panel'!$D$5),1,0))</f>
        <v>1</v>
      </c>
      <c r="AI34">
        <f>IF(AH34=0,0,IF(AND(OR('Panel'!$G$5="",D34&gt;='Panel'!$G$5),OR('Panel'!$J$5="",D34&lt;='Panel'!$J$5)),1,0))</f>
        <v>1</v>
      </c>
      <c r="AJ34">
        <f>IF(AI34=1,R34,0)</f>
        <v>-90</v>
      </c>
      <c r="AK34">
        <f>IF(AI34=1,'Panel'!$AB$4+SUM($AJ$5:AJ34),"")</f>
        <v>21281.061500000033</v>
      </c>
      <c r="AL34">
        <f>IF(AI34=0,N(AL33),IF(R34&lt;0,N(AL33)+1,0))</f>
        <v>1</v>
      </c>
      <c r="AM34">
        <f>IF(AI34=0,N(AM33),IF(R34&gt;0,N(AM33)+1,0))</f>
        <v>0</v>
      </c>
      <c r="AN34">
        <f>IF(AI34=1,MAX('Panel'!$AB$4,N(AN33),AK34),N(AN33))</f>
        <v>21371.061500000033</v>
      </c>
      <c r="AO34">
        <f>IF(AI34=1,AN34-AK34,0)</f>
        <v>90</v>
      </c>
      <c r="AP34">
        <f>IF(AND(AI34=1,AN34&gt;0),AO34/AN34,0)</f>
        <v>0.00421130227901875</v>
      </c>
      <c r="AQ34">
        <f>IF(AI34=1,SUM($AI$5:AI34),"")</f>
        <v>30</v>
      </c>
      <c r="AR34">
        <f>IF(AI34=1,IF(COUNTIFS($D$5:D34,D34,$AI$5:AI34,1)=1,SUMIFS($AJ$5:$AJ$504,$D$5:$D$504,D34),""),"")</f>
        <v>-90</v>
      </c>
      <c r="AS34">
        <f>IF(AG34=1,WEEKDAY(D34,2),"")</f>
        <v>5</v>
      </c>
      <c r="AT34" s="31">
        <f>IF(AG34=1,DATE(YEAR(D34),MONTH(D34),1),"")</f>
        <v>46296</v>
      </c>
      <c r="AU34">
        <f>IF(AG34=0,0,IF(AND(OR('Prop challenge'!$D$7="",F34='Prop challenge'!$D$7),OR('Prop challenge'!$D$9="",D34&gt;='Prop challenge'!$D$9)),1,0))</f>
        <v>1</v>
      </c>
      <c r="AV34">
        <f>IF(AU34=1,IF(COUNTIFS($D$5:D34,D34,$AU$5:AU34,1)=1,1,0),0)</f>
        <v>1</v>
      </c>
      <c r="AW34">
        <f>IF(AV34=1,SUM($AV$5:AV34),"")</f>
        <v>8</v>
      </c>
      <c r="AX34">
        <f>IF(AV34=1,SUMIFS($R$5:$R$504,$D$5:$D$504,D34,$AU$5:$AU$504,1),"")</f>
        <v>-90</v>
      </c>
    </row>
    <row r="35">
      <c r="A35" s="20" t="str">
        <f>IF(AG35=1,ROW()-4,"")</f>
        <v/>
      </c>
      <c r="B35" s="21" t="n"/>
      <c r="C35" s="22" t="n"/>
      <c r="D35" s="21" t="n"/>
      <c r="E35" s="22" t="n"/>
      <c r="F35" s="23" t="n"/>
      <c r="G35" s="23" t="n"/>
      <c r="H35" s="23" t="n"/>
      <c r="I35" s="24" t="n"/>
      <c r="J35" s="25" t="n"/>
      <c r="K35" s="25" t="n"/>
      <c r="L35" s="25" t="n"/>
      <c r="M35" s="25" t="n"/>
      <c r="N35" s="26" t="n"/>
      <c r="O35" s="26" t="n"/>
      <c r="P35" s="27" t="str">
        <f>IF(OR(J35="",K35="",I35="",AF35=0,AD35=""),"",(K35-J35)*AF35*I35*AD35*AE35)</f>
        <v/>
      </c>
      <c r="Q35" s="26" t="n"/>
      <c r="R35" s="28" t="str">
        <f>IF(Q35&lt;&gt;"",Q35,IF(P35="","",P35-N(N35)+N(O35)))</f>
        <v/>
      </c>
      <c r="S35" s="27" t="str">
        <f>IF(OR(L35="",J35="",I35="",AD35=""),"",ABS(J35-L35)*I35*AD35*AE35)</f>
        <v/>
      </c>
      <c r="T35" s="29" t="str">
        <f>IF(OR(R35="",S35="",S35=0),"",R35/S35)</f>
        <v/>
      </c>
      <c r="U35" s="20" t="str">
        <f>IF(R35="","",IF(R35&gt;0,"Ganadora",IF(R35&lt;0,"Perdedora","BE")))</f>
        <v/>
      </c>
      <c r="V35" s="23" t="n"/>
      <c r="W35" s="23" t="n"/>
      <c r="X35" s="23" t="n"/>
      <c r="Y35" s="23" t="n"/>
      <c r="Z35" s="23" t="n"/>
      <c r="AA35" s="23" t="n"/>
      <c r="AB35" s="30" t="n"/>
      <c r="AC35" s="1" t="n"/>
      <c r="AD35" s="1" t="str">
        <f>IF(G35="","",IFERROR(INDEX('Listas'!$N$6:$N$35,MATCH(G35,'Listas'!$M$6:$M$35,0)),""))</f>
        <v/>
      </c>
      <c r="AE35">
        <f>IF(G35="",1,IFERROR(INDEX('Listas'!$P$6:$P$35,MATCH(G35,'Listas'!$M$6:$M$35,0)),1))</f>
        <v>1</v>
      </c>
      <c r="AF35">
        <f>IF(H35="Compra",1,IF(H35="Venta",-1,0))</f>
        <v>0</v>
      </c>
      <c r="AG35">
        <f>IF(AND(D35&lt;&gt;"",ISNUMBER(R35)),1,0)</f>
        <v>0</v>
      </c>
      <c r="AH35">
        <f>IF(AG35=0,0,IF(OR('Panel'!$D$5="Todas las cuentas",'Panel'!$D$5="",F35='Panel'!$D$5),1,0))</f>
        <v>0</v>
      </c>
      <c r="AI35">
        <f>IF(AH35=0,0,IF(AND(OR('Panel'!$G$5="",D35&gt;='Panel'!$G$5),OR('Panel'!$J$5="",D35&lt;='Panel'!$J$5)),1,0))</f>
        <v>0</v>
      </c>
      <c r="AJ35">
        <f>IF(AI35=1,R35,0)</f>
        <v>0</v>
      </c>
      <c r="AK35" t="str">
        <f>IF(AI35=1,'Panel'!$AB$4+SUM($AJ$5:AJ35),"")</f>
        <v/>
      </c>
      <c r="AL35">
        <f>IF(AI35=0,N(AL34),IF(R35&lt;0,N(AL34)+1,0))</f>
        <v>1</v>
      </c>
      <c r="AM35">
        <f>IF(AI35=0,N(AM34),IF(R35&gt;0,N(AM34)+1,0))</f>
        <v>0</v>
      </c>
      <c r="AN35">
        <f>IF(AI35=1,MAX('Panel'!$AB$4,N(AN34),AK35),N(AN34))</f>
        <v>21371.061500000033</v>
      </c>
      <c r="AO35">
        <f>IF(AI35=1,AN35-AK35,0)</f>
        <v>0</v>
      </c>
      <c r="AP35">
        <f>IF(AND(AI35=1,AN35&gt;0),AO35/AN35,0)</f>
        <v>0</v>
      </c>
      <c r="AQ35" t="str">
        <f>IF(AI35=1,SUM($AI$5:AI35),"")</f>
        <v/>
      </c>
      <c r="AR35" t="str">
        <f>IF(AI35=1,IF(COUNTIFS($D$5:D35,D35,$AI$5:AI35,1)=1,SUMIFS($AJ$5:$AJ$504,$D$5:$D$504,D35),""),"")</f>
        <v/>
      </c>
      <c r="AS35" t="str">
        <f>IF(AG35=1,WEEKDAY(D35,2),"")</f>
        <v/>
      </c>
      <c r="AT35" s="31" t="str">
        <f>IF(AG35=1,DATE(YEAR(D35),MONTH(D35),1),"")</f>
        <v/>
      </c>
      <c r="AU35">
        <f>IF(AG35=0,0,IF(AND(OR('Prop challenge'!$D$7="",F35='Prop challenge'!$D$7),OR('Prop challenge'!$D$9="",D35&gt;='Prop challenge'!$D$9)),1,0))</f>
        <v>0</v>
      </c>
      <c r="AV35">
        <f>IF(AU35=1,IF(COUNTIFS($D$5:D35,D35,$AU$5:AU35,1)=1,1,0),0)</f>
        <v>0</v>
      </c>
      <c r="AW35" t="str">
        <f>IF(AV35=1,SUM($AV$5:AV35),"")</f>
        <v/>
      </c>
      <c r="AX35" t="str">
        <f>IF(AV35=1,SUMIFS($R$5:$R$504,$D$5:$D$504,D35,$AU$5:$AU$504,1),"")</f>
        <v/>
      </c>
    </row>
    <row r="36">
      <c r="A36" s="20" t="str">
        <f>IF(AG36=1,ROW()-4,"")</f>
        <v/>
      </c>
      <c r="B36" s="21" t="n"/>
      <c r="C36" s="22" t="n"/>
      <c r="D36" s="21" t="n"/>
      <c r="E36" s="22" t="n"/>
      <c r="F36" s="23" t="n"/>
      <c r="G36" s="23" t="n"/>
      <c r="H36" s="23" t="n"/>
      <c r="I36" s="24" t="n"/>
      <c r="J36" s="25" t="n"/>
      <c r="K36" s="25" t="n"/>
      <c r="L36" s="25" t="n"/>
      <c r="M36" s="25" t="n"/>
      <c r="N36" s="26" t="n"/>
      <c r="O36" s="26" t="n"/>
      <c r="P36" s="27" t="str">
        <f>IF(OR(J36="",K36="",I36="",AF36=0,AD36=""),"",(K36-J36)*AF36*I36*AD36*AE36)</f>
        <v/>
      </c>
      <c r="Q36" s="26" t="n"/>
      <c r="R36" s="28" t="str">
        <f>IF(Q36&lt;&gt;"",Q36,IF(P36="","",P36-N(N36)+N(O36)))</f>
        <v/>
      </c>
      <c r="S36" s="27" t="str">
        <f>IF(OR(L36="",J36="",I36="",AD36=""),"",ABS(J36-L36)*I36*AD36*AE36)</f>
        <v/>
      </c>
      <c r="T36" s="29" t="str">
        <f>IF(OR(R36="",S36="",S36=0),"",R36/S36)</f>
        <v/>
      </c>
      <c r="U36" s="20" t="str">
        <f>IF(R36="","",IF(R36&gt;0,"Ganadora",IF(R36&lt;0,"Perdedora","BE")))</f>
        <v/>
      </c>
      <c r="V36" s="23" t="n"/>
      <c r="W36" s="23" t="n"/>
      <c r="X36" s="23" t="n"/>
      <c r="Y36" s="23" t="n"/>
      <c r="Z36" s="23" t="n"/>
      <c r="AA36" s="23" t="n"/>
      <c r="AB36" s="30" t="n"/>
      <c r="AC36" s="1" t="n"/>
      <c r="AD36" s="1" t="str">
        <f>IF(G36="","",IFERROR(INDEX('Listas'!$N$6:$N$35,MATCH(G36,'Listas'!$M$6:$M$35,0)),""))</f>
        <v/>
      </c>
      <c r="AE36">
        <f>IF(G36="",1,IFERROR(INDEX('Listas'!$P$6:$P$35,MATCH(G36,'Listas'!$M$6:$M$35,0)),1))</f>
        <v>1</v>
      </c>
      <c r="AF36">
        <f>IF(H36="Compra",1,IF(H36="Venta",-1,0))</f>
        <v>0</v>
      </c>
      <c r="AG36">
        <f>IF(AND(D36&lt;&gt;"",ISNUMBER(R36)),1,0)</f>
        <v>0</v>
      </c>
      <c r="AH36">
        <f>IF(AG36=0,0,IF(OR('Panel'!$D$5="Todas las cuentas",'Panel'!$D$5="",F36='Panel'!$D$5),1,0))</f>
        <v>0</v>
      </c>
      <c r="AI36">
        <f>IF(AH36=0,0,IF(AND(OR('Panel'!$G$5="",D36&gt;='Panel'!$G$5),OR('Panel'!$J$5="",D36&lt;='Panel'!$J$5)),1,0))</f>
        <v>0</v>
      </c>
      <c r="AJ36">
        <f>IF(AI36=1,R36,0)</f>
        <v>0</v>
      </c>
      <c r="AK36" t="str">
        <f>IF(AI36=1,'Panel'!$AB$4+SUM($AJ$5:AJ36),"")</f>
        <v/>
      </c>
      <c r="AL36">
        <f>IF(AI36=0,N(AL35),IF(R36&lt;0,N(AL35)+1,0))</f>
        <v>1</v>
      </c>
      <c r="AM36">
        <f>IF(AI36=0,N(AM35),IF(R36&gt;0,N(AM35)+1,0))</f>
        <v>0</v>
      </c>
      <c r="AN36">
        <f>IF(AI36=1,MAX('Panel'!$AB$4,N(AN35),AK36),N(AN35))</f>
        <v>21371.061500000033</v>
      </c>
      <c r="AO36">
        <f>IF(AI36=1,AN36-AK36,0)</f>
        <v>0</v>
      </c>
      <c r="AP36">
        <f>IF(AND(AI36=1,AN36&gt;0),AO36/AN36,0)</f>
        <v>0</v>
      </c>
      <c r="AQ36" t="str">
        <f>IF(AI36=1,SUM($AI$5:AI36),"")</f>
        <v/>
      </c>
      <c r="AR36" t="str">
        <f>IF(AI36=1,IF(COUNTIFS($D$5:D36,D36,$AI$5:AI36,1)=1,SUMIFS($AJ$5:$AJ$504,$D$5:$D$504,D36),""),"")</f>
        <v/>
      </c>
      <c r="AS36" t="str">
        <f>IF(AG36=1,WEEKDAY(D36,2),"")</f>
        <v/>
      </c>
      <c r="AT36" s="31" t="str">
        <f>IF(AG36=1,DATE(YEAR(D36),MONTH(D36),1),"")</f>
        <v/>
      </c>
      <c r="AU36">
        <f>IF(AG36=0,0,IF(AND(OR('Prop challenge'!$D$7="",F36='Prop challenge'!$D$7),OR('Prop challenge'!$D$9="",D36&gt;='Prop challenge'!$D$9)),1,0))</f>
        <v>0</v>
      </c>
      <c r="AV36">
        <f>IF(AU36=1,IF(COUNTIFS($D$5:D36,D36,$AU$5:AU36,1)=1,1,0),0)</f>
        <v>0</v>
      </c>
      <c r="AW36" t="str">
        <f>IF(AV36=1,SUM($AV$5:AV36),"")</f>
        <v/>
      </c>
      <c r="AX36" t="str">
        <f>IF(AV36=1,SUMIFS($R$5:$R$504,$D$5:$D$504,D36,$AU$5:$AU$504,1),"")</f>
        <v/>
      </c>
    </row>
    <row r="37">
      <c r="A37" s="20" t="str">
        <f>IF(AG37=1,ROW()-4,"")</f>
        <v/>
      </c>
      <c r="B37" s="21" t="n"/>
      <c r="C37" s="22" t="n"/>
      <c r="D37" s="21" t="n"/>
      <c r="E37" s="22" t="n"/>
      <c r="F37" s="23" t="n"/>
      <c r="G37" s="23" t="n"/>
      <c r="H37" s="23" t="n"/>
      <c r="I37" s="24" t="n"/>
      <c r="J37" s="25" t="n"/>
      <c r="K37" s="25" t="n"/>
      <c r="L37" s="25" t="n"/>
      <c r="M37" s="25" t="n"/>
      <c r="N37" s="26" t="n"/>
      <c r="O37" s="26" t="n"/>
      <c r="P37" s="27" t="str">
        <f>IF(OR(J37="",K37="",I37="",AF37=0,AD37=""),"",(K37-J37)*AF37*I37*AD37*AE37)</f>
        <v/>
      </c>
      <c r="Q37" s="26" t="n"/>
      <c r="R37" s="28" t="str">
        <f>IF(Q37&lt;&gt;"",Q37,IF(P37="","",P37-N(N37)+N(O37)))</f>
        <v/>
      </c>
      <c r="S37" s="27" t="str">
        <f>IF(OR(L37="",J37="",I37="",AD37=""),"",ABS(J37-L37)*I37*AD37*AE37)</f>
        <v/>
      </c>
      <c r="T37" s="29" t="str">
        <f>IF(OR(R37="",S37="",S37=0),"",R37/S37)</f>
        <v/>
      </c>
      <c r="U37" s="20" t="str">
        <f>IF(R37="","",IF(R37&gt;0,"Ganadora",IF(R37&lt;0,"Perdedora","BE")))</f>
        <v/>
      </c>
      <c r="V37" s="23" t="n"/>
      <c r="W37" s="23" t="n"/>
      <c r="X37" s="23" t="n"/>
      <c r="Y37" s="23" t="n"/>
      <c r="Z37" s="23" t="n"/>
      <c r="AA37" s="23" t="n"/>
      <c r="AB37" s="30" t="n"/>
      <c r="AC37" s="1" t="n"/>
      <c r="AD37" s="1" t="str">
        <f>IF(G37="","",IFERROR(INDEX('Listas'!$N$6:$N$35,MATCH(G37,'Listas'!$M$6:$M$35,0)),""))</f>
        <v/>
      </c>
      <c r="AE37">
        <f>IF(G37="",1,IFERROR(INDEX('Listas'!$P$6:$P$35,MATCH(G37,'Listas'!$M$6:$M$35,0)),1))</f>
        <v>1</v>
      </c>
      <c r="AF37">
        <f>IF(H37="Compra",1,IF(H37="Venta",-1,0))</f>
        <v>0</v>
      </c>
      <c r="AG37">
        <f>IF(AND(D37&lt;&gt;"",ISNUMBER(R37)),1,0)</f>
        <v>0</v>
      </c>
      <c r="AH37">
        <f>IF(AG37=0,0,IF(OR('Panel'!$D$5="Todas las cuentas",'Panel'!$D$5="",F37='Panel'!$D$5),1,0))</f>
        <v>0</v>
      </c>
      <c r="AI37">
        <f>IF(AH37=0,0,IF(AND(OR('Panel'!$G$5="",D37&gt;='Panel'!$G$5),OR('Panel'!$J$5="",D37&lt;='Panel'!$J$5)),1,0))</f>
        <v>0</v>
      </c>
      <c r="AJ37">
        <f>IF(AI37=1,R37,0)</f>
        <v>0</v>
      </c>
      <c r="AK37" t="str">
        <f>IF(AI37=1,'Panel'!$AB$4+SUM($AJ$5:AJ37),"")</f>
        <v/>
      </c>
      <c r="AL37">
        <f>IF(AI37=0,N(AL36),IF(R37&lt;0,N(AL36)+1,0))</f>
        <v>1</v>
      </c>
      <c r="AM37">
        <f>IF(AI37=0,N(AM36),IF(R37&gt;0,N(AM36)+1,0))</f>
        <v>0</v>
      </c>
      <c r="AN37">
        <f>IF(AI37=1,MAX('Panel'!$AB$4,N(AN36),AK37),N(AN36))</f>
        <v>21371.061500000033</v>
      </c>
      <c r="AO37">
        <f>IF(AI37=1,AN37-AK37,0)</f>
        <v>0</v>
      </c>
      <c r="AP37">
        <f>IF(AND(AI37=1,AN37&gt;0),AO37/AN37,0)</f>
        <v>0</v>
      </c>
      <c r="AQ37" t="str">
        <f>IF(AI37=1,SUM($AI$5:AI37),"")</f>
        <v/>
      </c>
      <c r="AR37" t="str">
        <f>IF(AI37=1,IF(COUNTIFS($D$5:D37,D37,$AI$5:AI37,1)=1,SUMIFS($AJ$5:$AJ$504,$D$5:$D$504,D37),""),"")</f>
        <v/>
      </c>
      <c r="AS37" t="str">
        <f>IF(AG37=1,WEEKDAY(D37,2),"")</f>
        <v/>
      </c>
      <c r="AT37" s="31" t="str">
        <f>IF(AG37=1,DATE(YEAR(D37),MONTH(D37),1),"")</f>
        <v/>
      </c>
      <c r="AU37">
        <f>IF(AG37=0,0,IF(AND(OR('Prop challenge'!$D$7="",F37='Prop challenge'!$D$7),OR('Prop challenge'!$D$9="",D37&gt;='Prop challenge'!$D$9)),1,0))</f>
        <v>0</v>
      </c>
      <c r="AV37">
        <f>IF(AU37=1,IF(COUNTIFS($D$5:D37,D37,$AU$5:AU37,1)=1,1,0),0)</f>
        <v>0</v>
      </c>
      <c r="AW37" t="str">
        <f>IF(AV37=1,SUM($AV$5:AV37),"")</f>
        <v/>
      </c>
      <c r="AX37" t="str">
        <f>IF(AV37=1,SUMIFS($R$5:$R$504,$D$5:$D$504,D37,$AU$5:$AU$504,1),"")</f>
        <v/>
      </c>
    </row>
    <row r="38">
      <c r="A38" s="20" t="str">
        <f>IF(AG38=1,ROW()-4,"")</f>
        <v/>
      </c>
      <c r="B38" s="21" t="n"/>
      <c r="C38" s="22" t="n"/>
      <c r="D38" s="21" t="n"/>
      <c r="E38" s="22" t="n"/>
      <c r="F38" s="23" t="n"/>
      <c r="G38" s="23" t="n"/>
      <c r="H38" s="23" t="n"/>
      <c r="I38" s="24" t="n"/>
      <c r="J38" s="25" t="n"/>
      <c r="K38" s="25" t="n"/>
      <c r="L38" s="25" t="n"/>
      <c r="M38" s="25" t="n"/>
      <c r="N38" s="26" t="n"/>
      <c r="O38" s="26" t="n"/>
      <c r="P38" s="27" t="str">
        <f>IF(OR(J38="",K38="",I38="",AF38=0,AD38=""),"",(K38-J38)*AF38*I38*AD38*AE38)</f>
        <v/>
      </c>
      <c r="Q38" s="26" t="n"/>
      <c r="R38" s="28" t="str">
        <f>IF(Q38&lt;&gt;"",Q38,IF(P38="","",P38-N(N38)+N(O38)))</f>
        <v/>
      </c>
      <c r="S38" s="27" t="str">
        <f>IF(OR(L38="",J38="",I38="",AD38=""),"",ABS(J38-L38)*I38*AD38*AE38)</f>
        <v/>
      </c>
      <c r="T38" s="29" t="str">
        <f>IF(OR(R38="",S38="",S38=0),"",R38/S38)</f>
        <v/>
      </c>
      <c r="U38" s="20" t="str">
        <f>IF(R38="","",IF(R38&gt;0,"Ganadora",IF(R38&lt;0,"Perdedora","BE")))</f>
        <v/>
      </c>
      <c r="V38" s="23" t="n"/>
      <c r="W38" s="23" t="n"/>
      <c r="X38" s="23" t="n"/>
      <c r="Y38" s="23" t="n"/>
      <c r="Z38" s="23" t="n"/>
      <c r="AA38" s="23" t="n"/>
      <c r="AB38" s="30" t="n"/>
      <c r="AC38" s="1" t="n"/>
      <c r="AD38" s="1" t="str">
        <f>IF(G38="","",IFERROR(INDEX('Listas'!$N$6:$N$35,MATCH(G38,'Listas'!$M$6:$M$35,0)),""))</f>
        <v/>
      </c>
      <c r="AE38">
        <f>IF(G38="",1,IFERROR(INDEX('Listas'!$P$6:$P$35,MATCH(G38,'Listas'!$M$6:$M$35,0)),1))</f>
        <v>1</v>
      </c>
      <c r="AF38">
        <f>IF(H38="Compra",1,IF(H38="Venta",-1,0))</f>
        <v>0</v>
      </c>
      <c r="AG38">
        <f>IF(AND(D38&lt;&gt;"",ISNUMBER(R38)),1,0)</f>
        <v>0</v>
      </c>
      <c r="AH38">
        <f>IF(AG38=0,0,IF(OR('Panel'!$D$5="Todas las cuentas",'Panel'!$D$5="",F38='Panel'!$D$5),1,0))</f>
        <v>0</v>
      </c>
      <c r="AI38">
        <f>IF(AH38=0,0,IF(AND(OR('Panel'!$G$5="",D38&gt;='Panel'!$G$5),OR('Panel'!$J$5="",D38&lt;='Panel'!$J$5)),1,0))</f>
        <v>0</v>
      </c>
      <c r="AJ38">
        <f>IF(AI38=1,R38,0)</f>
        <v>0</v>
      </c>
      <c r="AK38" t="str">
        <f>IF(AI38=1,'Panel'!$AB$4+SUM($AJ$5:AJ38),"")</f>
        <v/>
      </c>
      <c r="AL38">
        <f>IF(AI38=0,N(AL37),IF(R38&lt;0,N(AL37)+1,0))</f>
        <v>1</v>
      </c>
      <c r="AM38">
        <f>IF(AI38=0,N(AM37),IF(R38&gt;0,N(AM37)+1,0))</f>
        <v>0</v>
      </c>
      <c r="AN38">
        <f>IF(AI38=1,MAX('Panel'!$AB$4,N(AN37),AK38),N(AN37))</f>
        <v>21371.061500000033</v>
      </c>
      <c r="AO38">
        <f>IF(AI38=1,AN38-AK38,0)</f>
        <v>0</v>
      </c>
      <c r="AP38">
        <f>IF(AND(AI38=1,AN38&gt;0),AO38/AN38,0)</f>
        <v>0</v>
      </c>
      <c r="AQ38" t="str">
        <f>IF(AI38=1,SUM($AI$5:AI38),"")</f>
        <v/>
      </c>
      <c r="AR38" t="str">
        <f>IF(AI38=1,IF(COUNTIFS($D$5:D38,D38,$AI$5:AI38,1)=1,SUMIFS($AJ$5:$AJ$504,$D$5:$D$504,D38),""),"")</f>
        <v/>
      </c>
      <c r="AS38" t="str">
        <f>IF(AG38=1,WEEKDAY(D38,2),"")</f>
        <v/>
      </c>
      <c r="AT38" s="31" t="str">
        <f>IF(AG38=1,DATE(YEAR(D38),MONTH(D38),1),"")</f>
        <v/>
      </c>
      <c r="AU38">
        <f>IF(AG38=0,0,IF(AND(OR('Prop challenge'!$D$7="",F38='Prop challenge'!$D$7),OR('Prop challenge'!$D$9="",D38&gt;='Prop challenge'!$D$9)),1,0))</f>
        <v>0</v>
      </c>
      <c r="AV38">
        <f>IF(AU38=1,IF(COUNTIFS($D$5:D38,D38,$AU$5:AU38,1)=1,1,0),0)</f>
        <v>0</v>
      </c>
      <c r="AW38" t="str">
        <f>IF(AV38=1,SUM($AV$5:AV38),"")</f>
        <v/>
      </c>
      <c r="AX38" t="str">
        <f>IF(AV38=1,SUMIFS($R$5:$R$504,$D$5:$D$504,D38,$AU$5:$AU$504,1),"")</f>
        <v/>
      </c>
    </row>
    <row r="39">
      <c r="A39" s="20" t="str">
        <f>IF(AG39=1,ROW()-4,"")</f>
        <v/>
      </c>
      <c r="B39" s="21" t="n"/>
      <c r="C39" s="22" t="n"/>
      <c r="D39" s="21" t="n"/>
      <c r="E39" s="22" t="n"/>
      <c r="F39" s="23" t="n"/>
      <c r="G39" s="23" t="n"/>
      <c r="H39" s="23" t="n"/>
      <c r="I39" s="24" t="n"/>
      <c r="J39" s="25" t="n"/>
      <c r="K39" s="25" t="n"/>
      <c r="L39" s="25" t="n"/>
      <c r="M39" s="25" t="n"/>
      <c r="N39" s="26" t="n"/>
      <c r="O39" s="26" t="n"/>
      <c r="P39" s="27" t="str">
        <f>IF(OR(J39="",K39="",I39="",AF39=0,AD39=""),"",(K39-J39)*AF39*I39*AD39*AE39)</f>
        <v/>
      </c>
      <c r="Q39" s="26" t="n"/>
      <c r="R39" s="28" t="str">
        <f>IF(Q39&lt;&gt;"",Q39,IF(P39="","",P39-N(N39)+N(O39)))</f>
        <v/>
      </c>
      <c r="S39" s="27" t="str">
        <f>IF(OR(L39="",J39="",I39="",AD39=""),"",ABS(J39-L39)*I39*AD39*AE39)</f>
        <v/>
      </c>
      <c r="T39" s="29" t="str">
        <f>IF(OR(R39="",S39="",S39=0),"",R39/S39)</f>
        <v/>
      </c>
      <c r="U39" s="20" t="str">
        <f>IF(R39="","",IF(R39&gt;0,"Ganadora",IF(R39&lt;0,"Perdedora","BE")))</f>
        <v/>
      </c>
      <c r="V39" s="23" t="n"/>
      <c r="W39" s="23" t="n"/>
      <c r="X39" s="23" t="n"/>
      <c r="Y39" s="23" t="n"/>
      <c r="Z39" s="23" t="n"/>
      <c r="AA39" s="23" t="n"/>
      <c r="AB39" s="30" t="n"/>
      <c r="AC39" s="1" t="n"/>
      <c r="AD39" s="1" t="str">
        <f>IF(G39="","",IFERROR(INDEX('Listas'!$N$6:$N$35,MATCH(G39,'Listas'!$M$6:$M$35,0)),""))</f>
        <v/>
      </c>
      <c r="AE39">
        <f>IF(G39="",1,IFERROR(INDEX('Listas'!$P$6:$P$35,MATCH(G39,'Listas'!$M$6:$M$35,0)),1))</f>
        <v>1</v>
      </c>
      <c r="AF39">
        <f>IF(H39="Compra",1,IF(H39="Venta",-1,0))</f>
        <v>0</v>
      </c>
      <c r="AG39">
        <f>IF(AND(D39&lt;&gt;"",ISNUMBER(R39)),1,0)</f>
        <v>0</v>
      </c>
      <c r="AH39">
        <f>IF(AG39=0,0,IF(OR('Panel'!$D$5="Todas las cuentas",'Panel'!$D$5="",F39='Panel'!$D$5),1,0))</f>
        <v>0</v>
      </c>
      <c r="AI39">
        <f>IF(AH39=0,0,IF(AND(OR('Panel'!$G$5="",D39&gt;='Panel'!$G$5),OR('Panel'!$J$5="",D39&lt;='Panel'!$J$5)),1,0))</f>
        <v>0</v>
      </c>
      <c r="AJ39">
        <f>IF(AI39=1,R39,0)</f>
        <v>0</v>
      </c>
      <c r="AK39" t="str">
        <f>IF(AI39=1,'Panel'!$AB$4+SUM($AJ$5:AJ39),"")</f>
        <v/>
      </c>
      <c r="AL39">
        <f>IF(AI39=0,N(AL38),IF(R39&lt;0,N(AL38)+1,0))</f>
        <v>1</v>
      </c>
      <c r="AM39">
        <f>IF(AI39=0,N(AM38),IF(R39&gt;0,N(AM38)+1,0))</f>
        <v>0</v>
      </c>
      <c r="AN39">
        <f>IF(AI39=1,MAX('Panel'!$AB$4,N(AN38),AK39),N(AN38))</f>
        <v>21371.061500000033</v>
      </c>
      <c r="AO39">
        <f>IF(AI39=1,AN39-AK39,0)</f>
        <v>0</v>
      </c>
      <c r="AP39">
        <f>IF(AND(AI39=1,AN39&gt;0),AO39/AN39,0)</f>
        <v>0</v>
      </c>
      <c r="AQ39" t="str">
        <f>IF(AI39=1,SUM($AI$5:AI39),"")</f>
        <v/>
      </c>
      <c r="AR39" t="str">
        <f>IF(AI39=1,IF(COUNTIFS($D$5:D39,D39,$AI$5:AI39,1)=1,SUMIFS($AJ$5:$AJ$504,$D$5:$D$504,D39),""),"")</f>
        <v/>
      </c>
      <c r="AS39" t="str">
        <f>IF(AG39=1,WEEKDAY(D39,2),"")</f>
        <v/>
      </c>
      <c r="AT39" s="31" t="str">
        <f>IF(AG39=1,DATE(YEAR(D39),MONTH(D39),1),"")</f>
        <v/>
      </c>
      <c r="AU39">
        <f>IF(AG39=0,0,IF(AND(OR('Prop challenge'!$D$7="",F39='Prop challenge'!$D$7),OR('Prop challenge'!$D$9="",D39&gt;='Prop challenge'!$D$9)),1,0))</f>
        <v>0</v>
      </c>
      <c r="AV39">
        <f>IF(AU39=1,IF(COUNTIFS($D$5:D39,D39,$AU$5:AU39,1)=1,1,0),0)</f>
        <v>0</v>
      </c>
      <c r="AW39" t="str">
        <f>IF(AV39=1,SUM($AV$5:AV39),"")</f>
        <v/>
      </c>
      <c r="AX39" t="str">
        <f>IF(AV39=1,SUMIFS($R$5:$R$504,$D$5:$D$504,D39,$AU$5:$AU$504,1),"")</f>
        <v/>
      </c>
    </row>
    <row r="40">
      <c r="A40" s="20" t="str">
        <f>IF(AG40=1,ROW()-4,"")</f>
        <v/>
      </c>
      <c r="B40" s="21" t="n"/>
      <c r="C40" s="22" t="n"/>
      <c r="D40" s="21" t="n"/>
      <c r="E40" s="22" t="n"/>
      <c r="F40" s="23" t="n"/>
      <c r="G40" s="23" t="n"/>
      <c r="H40" s="23" t="n"/>
      <c r="I40" s="24" t="n"/>
      <c r="J40" s="25" t="n"/>
      <c r="K40" s="25" t="n"/>
      <c r="L40" s="25" t="n"/>
      <c r="M40" s="25" t="n"/>
      <c r="N40" s="26" t="n"/>
      <c r="O40" s="26" t="n"/>
      <c r="P40" s="27" t="str">
        <f>IF(OR(J40="",K40="",I40="",AF40=0,AD40=""),"",(K40-J40)*AF40*I40*AD40*AE40)</f>
        <v/>
      </c>
      <c r="Q40" s="26" t="n"/>
      <c r="R40" s="28" t="str">
        <f>IF(Q40&lt;&gt;"",Q40,IF(P40="","",P40-N(N40)+N(O40)))</f>
        <v/>
      </c>
      <c r="S40" s="27" t="str">
        <f>IF(OR(L40="",J40="",I40="",AD40=""),"",ABS(J40-L40)*I40*AD40*AE40)</f>
        <v/>
      </c>
      <c r="T40" s="29" t="str">
        <f>IF(OR(R40="",S40="",S40=0),"",R40/S40)</f>
        <v/>
      </c>
      <c r="U40" s="20" t="str">
        <f>IF(R40="","",IF(R40&gt;0,"Ganadora",IF(R40&lt;0,"Perdedora","BE")))</f>
        <v/>
      </c>
      <c r="V40" s="23" t="n"/>
      <c r="W40" s="23" t="n"/>
      <c r="X40" s="23" t="n"/>
      <c r="Y40" s="23" t="n"/>
      <c r="Z40" s="23" t="n"/>
      <c r="AA40" s="23" t="n"/>
      <c r="AB40" s="30" t="n"/>
      <c r="AC40" s="1" t="n"/>
      <c r="AD40" s="1" t="str">
        <f>IF(G40="","",IFERROR(INDEX('Listas'!$N$6:$N$35,MATCH(G40,'Listas'!$M$6:$M$35,0)),""))</f>
        <v/>
      </c>
      <c r="AE40">
        <f>IF(G40="",1,IFERROR(INDEX('Listas'!$P$6:$P$35,MATCH(G40,'Listas'!$M$6:$M$35,0)),1))</f>
        <v>1</v>
      </c>
      <c r="AF40">
        <f>IF(H40="Compra",1,IF(H40="Venta",-1,0))</f>
        <v>0</v>
      </c>
      <c r="AG40">
        <f>IF(AND(D40&lt;&gt;"",ISNUMBER(R40)),1,0)</f>
        <v>0</v>
      </c>
      <c r="AH40">
        <f>IF(AG40=0,0,IF(OR('Panel'!$D$5="Todas las cuentas",'Panel'!$D$5="",F40='Panel'!$D$5),1,0))</f>
        <v>0</v>
      </c>
      <c r="AI40">
        <f>IF(AH40=0,0,IF(AND(OR('Panel'!$G$5="",D40&gt;='Panel'!$G$5),OR('Panel'!$J$5="",D40&lt;='Panel'!$J$5)),1,0))</f>
        <v>0</v>
      </c>
      <c r="AJ40">
        <f>IF(AI40=1,R40,0)</f>
        <v>0</v>
      </c>
      <c r="AK40" t="str">
        <f>IF(AI40=1,'Panel'!$AB$4+SUM($AJ$5:AJ40),"")</f>
        <v/>
      </c>
      <c r="AL40">
        <f>IF(AI40=0,N(AL39),IF(R40&lt;0,N(AL39)+1,0))</f>
        <v>1</v>
      </c>
      <c r="AM40">
        <f>IF(AI40=0,N(AM39),IF(R40&gt;0,N(AM39)+1,0))</f>
        <v>0</v>
      </c>
      <c r="AN40">
        <f>IF(AI40=1,MAX('Panel'!$AB$4,N(AN39),AK40),N(AN39))</f>
        <v>21371.061500000033</v>
      </c>
      <c r="AO40">
        <f>IF(AI40=1,AN40-AK40,0)</f>
        <v>0</v>
      </c>
      <c r="AP40">
        <f>IF(AND(AI40=1,AN40&gt;0),AO40/AN40,0)</f>
        <v>0</v>
      </c>
      <c r="AQ40" t="str">
        <f>IF(AI40=1,SUM($AI$5:AI40),"")</f>
        <v/>
      </c>
      <c r="AR40" t="str">
        <f>IF(AI40=1,IF(COUNTIFS($D$5:D40,D40,$AI$5:AI40,1)=1,SUMIFS($AJ$5:$AJ$504,$D$5:$D$504,D40),""),"")</f>
        <v/>
      </c>
      <c r="AS40" t="str">
        <f>IF(AG40=1,WEEKDAY(D40,2),"")</f>
        <v/>
      </c>
      <c r="AT40" s="31" t="str">
        <f>IF(AG40=1,DATE(YEAR(D40),MONTH(D40),1),"")</f>
        <v/>
      </c>
      <c r="AU40">
        <f>IF(AG40=0,0,IF(AND(OR('Prop challenge'!$D$7="",F40='Prop challenge'!$D$7),OR('Prop challenge'!$D$9="",D40&gt;='Prop challenge'!$D$9)),1,0))</f>
        <v>0</v>
      </c>
      <c r="AV40">
        <f>IF(AU40=1,IF(COUNTIFS($D$5:D40,D40,$AU$5:AU40,1)=1,1,0),0)</f>
        <v>0</v>
      </c>
      <c r="AW40" t="str">
        <f>IF(AV40=1,SUM($AV$5:AV40),"")</f>
        <v/>
      </c>
      <c r="AX40" t="str">
        <f>IF(AV40=1,SUMIFS($R$5:$R$504,$D$5:$D$504,D40,$AU$5:$AU$504,1),"")</f>
        <v/>
      </c>
    </row>
    <row r="41">
      <c r="A41" s="20" t="str">
        <f>IF(AG41=1,ROW()-4,"")</f>
        <v/>
      </c>
      <c r="B41" s="21" t="n"/>
      <c r="C41" s="22" t="n"/>
      <c r="D41" s="21" t="n"/>
      <c r="E41" s="22" t="n"/>
      <c r="F41" s="23" t="n"/>
      <c r="G41" s="23" t="n"/>
      <c r="H41" s="23" t="n"/>
      <c r="I41" s="24" t="n"/>
      <c r="J41" s="25" t="n"/>
      <c r="K41" s="25" t="n"/>
      <c r="L41" s="25" t="n"/>
      <c r="M41" s="25" t="n"/>
      <c r="N41" s="26" t="n"/>
      <c r="O41" s="26" t="n"/>
      <c r="P41" s="27" t="str">
        <f>IF(OR(J41="",K41="",I41="",AF41=0,AD41=""),"",(K41-J41)*AF41*I41*AD41*AE41)</f>
        <v/>
      </c>
      <c r="Q41" s="26" t="n"/>
      <c r="R41" s="28" t="str">
        <f>IF(Q41&lt;&gt;"",Q41,IF(P41="","",P41-N(N41)+N(O41)))</f>
        <v/>
      </c>
      <c r="S41" s="27" t="str">
        <f>IF(OR(L41="",J41="",I41="",AD41=""),"",ABS(J41-L41)*I41*AD41*AE41)</f>
        <v/>
      </c>
      <c r="T41" s="29" t="str">
        <f>IF(OR(R41="",S41="",S41=0),"",R41/S41)</f>
        <v/>
      </c>
      <c r="U41" s="20" t="str">
        <f>IF(R41="","",IF(R41&gt;0,"Ganadora",IF(R41&lt;0,"Perdedora","BE")))</f>
        <v/>
      </c>
      <c r="V41" s="23" t="n"/>
      <c r="W41" s="23" t="n"/>
      <c r="X41" s="23" t="n"/>
      <c r="Y41" s="23" t="n"/>
      <c r="Z41" s="23" t="n"/>
      <c r="AA41" s="23" t="n"/>
      <c r="AB41" s="30" t="n"/>
      <c r="AC41" s="1" t="n"/>
      <c r="AD41" s="1" t="str">
        <f>IF(G41="","",IFERROR(INDEX('Listas'!$N$6:$N$35,MATCH(G41,'Listas'!$M$6:$M$35,0)),""))</f>
        <v/>
      </c>
      <c r="AE41">
        <f>IF(G41="",1,IFERROR(INDEX('Listas'!$P$6:$P$35,MATCH(G41,'Listas'!$M$6:$M$35,0)),1))</f>
        <v>1</v>
      </c>
      <c r="AF41">
        <f>IF(H41="Compra",1,IF(H41="Venta",-1,0))</f>
        <v>0</v>
      </c>
      <c r="AG41">
        <f>IF(AND(D41&lt;&gt;"",ISNUMBER(R41)),1,0)</f>
        <v>0</v>
      </c>
      <c r="AH41">
        <f>IF(AG41=0,0,IF(OR('Panel'!$D$5="Todas las cuentas",'Panel'!$D$5="",F41='Panel'!$D$5),1,0))</f>
        <v>0</v>
      </c>
      <c r="AI41">
        <f>IF(AH41=0,0,IF(AND(OR('Panel'!$G$5="",D41&gt;='Panel'!$G$5),OR('Panel'!$J$5="",D41&lt;='Panel'!$J$5)),1,0))</f>
        <v>0</v>
      </c>
      <c r="AJ41">
        <f>IF(AI41=1,R41,0)</f>
        <v>0</v>
      </c>
      <c r="AK41" t="str">
        <f>IF(AI41=1,'Panel'!$AB$4+SUM($AJ$5:AJ41),"")</f>
        <v/>
      </c>
      <c r="AL41">
        <f>IF(AI41=0,N(AL40),IF(R41&lt;0,N(AL40)+1,0))</f>
        <v>1</v>
      </c>
      <c r="AM41">
        <f>IF(AI41=0,N(AM40),IF(R41&gt;0,N(AM40)+1,0))</f>
        <v>0</v>
      </c>
      <c r="AN41">
        <f>IF(AI41=1,MAX('Panel'!$AB$4,N(AN40),AK41),N(AN40))</f>
        <v>21371.061500000033</v>
      </c>
      <c r="AO41">
        <f>IF(AI41=1,AN41-AK41,0)</f>
        <v>0</v>
      </c>
      <c r="AP41">
        <f>IF(AND(AI41=1,AN41&gt;0),AO41/AN41,0)</f>
        <v>0</v>
      </c>
      <c r="AQ41" t="str">
        <f>IF(AI41=1,SUM($AI$5:AI41),"")</f>
        <v/>
      </c>
      <c r="AR41" t="str">
        <f>IF(AI41=1,IF(COUNTIFS($D$5:D41,D41,$AI$5:AI41,1)=1,SUMIFS($AJ$5:$AJ$504,$D$5:$D$504,D41),""),"")</f>
        <v/>
      </c>
      <c r="AS41" t="str">
        <f>IF(AG41=1,WEEKDAY(D41,2),"")</f>
        <v/>
      </c>
      <c r="AT41" s="31" t="str">
        <f>IF(AG41=1,DATE(YEAR(D41),MONTH(D41),1),"")</f>
        <v/>
      </c>
      <c r="AU41">
        <f>IF(AG41=0,0,IF(AND(OR('Prop challenge'!$D$7="",F41='Prop challenge'!$D$7),OR('Prop challenge'!$D$9="",D41&gt;='Prop challenge'!$D$9)),1,0))</f>
        <v>0</v>
      </c>
      <c r="AV41">
        <f>IF(AU41=1,IF(COUNTIFS($D$5:D41,D41,$AU$5:AU41,1)=1,1,0),0)</f>
        <v>0</v>
      </c>
      <c r="AW41" t="str">
        <f>IF(AV41=1,SUM($AV$5:AV41),"")</f>
        <v/>
      </c>
      <c r="AX41" t="str">
        <f>IF(AV41=1,SUMIFS($R$5:$R$504,$D$5:$D$504,D41,$AU$5:$AU$504,1),"")</f>
        <v/>
      </c>
    </row>
    <row r="42">
      <c r="A42" s="20" t="str">
        <f>IF(AG42=1,ROW()-4,"")</f>
        <v/>
      </c>
      <c r="B42" s="21" t="n"/>
      <c r="C42" s="22" t="n"/>
      <c r="D42" s="21" t="n"/>
      <c r="E42" s="22" t="n"/>
      <c r="F42" s="23" t="n"/>
      <c r="G42" s="23" t="n"/>
      <c r="H42" s="23" t="n"/>
      <c r="I42" s="24" t="n"/>
      <c r="J42" s="25" t="n"/>
      <c r="K42" s="25" t="n"/>
      <c r="L42" s="25" t="n"/>
      <c r="M42" s="25" t="n"/>
      <c r="N42" s="26" t="n"/>
      <c r="O42" s="26" t="n"/>
      <c r="P42" s="27" t="str">
        <f>IF(OR(J42="",K42="",I42="",AF42=0,AD42=""),"",(K42-J42)*AF42*I42*AD42*AE42)</f>
        <v/>
      </c>
      <c r="Q42" s="26" t="n"/>
      <c r="R42" s="28" t="str">
        <f>IF(Q42&lt;&gt;"",Q42,IF(P42="","",P42-N(N42)+N(O42)))</f>
        <v/>
      </c>
      <c r="S42" s="27" t="str">
        <f>IF(OR(L42="",J42="",I42="",AD42=""),"",ABS(J42-L42)*I42*AD42*AE42)</f>
        <v/>
      </c>
      <c r="T42" s="29" t="str">
        <f>IF(OR(R42="",S42="",S42=0),"",R42/S42)</f>
        <v/>
      </c>
      <c r="U42" s="20" t="str">
        <f>IF(R42="","",IF(R42&gt;0,"Ganadora",IF(R42&lt;0,"Perdedora","BE")))</f>
        <v/>
      </c>
      <c r="V42" s="23" t="n"/>
      <c r="W42" s="23" t="n"/>
      <c r="X42" s="23" t="n"/>
      <c r="Y42" s="23" t="n"/>
      <c r="Z42" s="23" t="n"/>
      <c r="AA42" s="23" t="n"/>
      <c r="AB42" s="30" t="n"/>
      <c r="AC42" s="1" t="n"/>
      <c r="AD42" s="1" t="str">
        <f>IF(G42="","",IFERROR(INDEX('Listas'!$N$6:$N$35,MATCH(G42,'Listas'!$M$6:$M$35,0)),""))</f>
        <v/>
      </c>
      <c r="AE42">
        <f>IF(G42="",1,IFERROR(INDEX('Listas'!$P$6:$P$35,MATCH(G42,'Listas'!$M$6:$M$35,0)),1))</f>
        <v>1</v>
      </c>
      <c r="AF42">
        <f>IF(H42="Compra",1,IF(H42="Venta",-1,0))</f>
        <v>0</v>
      </c>
      <c r="AG42">
        <f>IF(AND(D42&lt;&gt;"",ISNUMBER(R42)),1,0)</f>
        <v>0</v>
      </c>
      <c r="AH42">
        <f>IF(AG42=0,0,IF(OR('Panel'!$D$5="Todas las cuentas",'Panel'!$D$5="",F42='Panel'!$D$5),1,0))</f>
        <v>0</v>
      </c>
      <c r="AI42">
        <f>IF(AH42=0,0,IF(AND(OR('Panel'!$G$5="",D42&gt;='Panel'!$G$5),OR('Panel'!$J$5="",D42&lt;='Panel'!$J$5)),1,0))</f>
        <v>0</v>
      </c>
      <c r="AJ42">
        <f>IF(AI42=1,R42,0)</f>
        <v>0</v>
      </c>
      <c r="AK42" t="str">
        <f>IF(AI42=1,'Panel'!$AB$4+SUM($AJ$5:AJ42),"")</f>
        <v/>
      </c>
      <c r="AL42">
        <f>IF(AI42=0,N(AL41),IF(R42&lt;0,N(AL41)+1,0))</f>
        <v>1</v>
      </c>
      <c r="AM42">
        <f>IF(AI42=0,N(AM41),IF(R42&gt;0,N(AM41)+1,0))</f>
        <v>0</v>
      </c>
      <c r="AN42">
        <f>IF(AI42=1,MAX('Panel'!$AB$4,N(AN41),AK42),N(AN41))</f>
        <v>21371.061500000033</v>
      </c>
      <c r="AO42">
        <f>IF(AI42=1,AN42-AK42,0)</f>
        <v>0</v>
      </c>
      <c r="AP42">
        <f>IF(AND(AI42=1,AN42&gt;0),AO42/AN42,0)</f>
        <v>0</v>
      </c>
      <c r="AQ42" t="str">
        <f>IF(AI42=1,SUM($AI$5:AI42),"")</f>
        <v/>
      </c>
      <c r="AR42" t="str">
        <f>IF(AI42=1,IF(COUNTIFS($D$5:D42,D42,$AI$5:AI42,1)=1,SUMIFS($AJ$5:$AJ$504,$D$5:$D$504,D42),""),"")</f>
        <v/>
      </c>
      <c r="AS42" t="str">
        <f>IF(AG42=1,WEEKDAY(D42,2),"")</f>
        <v/>
      </c>
      <c r="AT42" s="31" t="str">
        <f>IF(AG42=1,DATE(YEAR(D42),MONTH(D42),1),"")</f>
        <v/>
      </c>
      <c r="AU42">
        <f>IF(AG42=0,0,IF(AND(OR('Prop challenge'!$D$7="",F42='Prop challenge'!$D$7),OR('Prop challenge'!$D$9="",D42&gt;='Prop challenge'!$D$9)),1,0))</f>
        <v>0</v>
      </c>
      <c r="AV42">
        <f>IF(AU42=1,IF(COUNTIFS($D$5:D42,D42,$AU$5:AU42,1)=1,1,0),0)</f>
        <v>0</v>
      </c>
      <c r="AW42" t="str">
        <f>IF(AV42=1,SUM($AV$5:AV42),"")</f>
        <v/>
      </c>
      <c r="AX42" t="str">
        <f>IF(AV42=1,SUMIFS($R$5:$R$504,$D$5:$D$504,D42,$AU$5:$AU$504,1),"")</f>
        <v/>
      </c>
    </row>
    <row r="43">
      <c r="A43" s="20" t="str">
        <f>IF(AG43=1,ROW()-4,"")</f>
        <v/>
      </c>
      <c r="B43" s="21" t="n"/>
      <c r="C43" s="22" t="n"/>
      <c r="D43" s="21" t="n"/>
      <c r="E43" s="22" t="n"/>
      <c r="F43" s="23" t="n"/>
      <c r="G43" s="23" t="n"/>
      <c r="H43" s="23" t="n"/>
      <c r="I43" s="24" t="n"/>
      <c r="J43" s="25" t="n"/>
      <c r="K43" s="25" t="n"/>
      <c r="L43" s="25" t="n"/>
      <c r="M43" s="25" t="n"/>
      <c r="N43" s="26" t="n"/>
      <c r="O43" s="26" t="n"/>
      <c r="P43" s="27" t="str">
        <f>IF(OR(J43="",K43="",I43="",AF43=0,AD43=""),"",(K43-J43)*AF43*I43*AD43*AE43)</f>
        <v/>
      </c>
      <c r="Q43" s="26" t="n"/>
      <c r="R43" s="28" t="str">
        <f>IF(Q43&lt;&gt;"",Q43,IF(P43="","",P43-N(N43)+N(O43)))</f>
        <v/>
      </c>
      <c r="S43" s="27" t="str">
        <f>IF(OR(L43="",J43="",I43="",AD43=""),"",ABS(J43-L43)*I43*AD43*AE43)</f>
        <v/>
      </c>
      <c r="T43" s="29" t="str">
        <f>IF(OR(R43="",S43="",S43=0),"",R43/S43)</f>
        <v/>
      </c>
      <c r="U43" s="20" t="str">
        <f>IF(R43="","",IF(R43&gt;0,"Ganadora",IF(R43&lt;0,"Perdedora","BE")))</f>
        <v/>
      </c>
      <c r="V43" s="23" t="n"/>
      <c r="W43" s="23" t="n"/>
      <c r="X43" s="23" t="n"/>
      <c r="Y43" s="23" t="n"/>
      <c r="Z43" s="23" t="n"/>
      <c r="AA43" s="23" t="n"/>
      <c r="AB43" s="30" t="n"/>
      <c r="AC43" s="1" t="n"/>
      <c r="AD43" s="1" t="str">
        <f>IF(G43="","",IFERROR(INDEX('Listas'!$N$6:$N$35,MATCH(G43,'Listas'!$M$6:$M$35,0)),""))</f>
        <v/>
      </c>
      <c r="AE43">
        <f>IF(G43="",1,IFERROR(INDEX('Listas'!$P$6:$P$35,MATCH(G43,'Listas'!$M$6:$M$35,0)),1))</f>
        <v>1</v>
      </c>
      <c r="AF43">
        <f>IF(H43="Compra",1,IF(H43="Venta",-1,0))</f>
        <v>0</v>
      </c>
      <c r="AG43">
        <f>IF(AND(D43&lt;&gt;"",ISNUMBER(R43)),1,0)</f>
        <v>0</v>
      </c>
      <c r="AH43">
        <f>IF(AG43=0,0,IF(OR('Panel'!$D$5="Todas las cuentas",'Panel'!$D$5="",F43='Panel'!$D$5),1,0))</f>
        <v>0</v>
      </c>
      <c r="AI43">
        <f>IF(AH43=0,0,IF(AND(OR('Panel'!$G$5="",D43&gt;='Panel'!$G$5),OR('Panel'!$J$5="",D43&lt;='Panel'!$J$5)),1,0))</f>
        <v>0</v>
      </c>
      <c r="AJ43">
        <f>IF(AI43=1,R43,0)</f>
        <v>0</v>
      </c>
      <c r="AK43" t="str">
        <f>IF(AI43=1,'Panel'!$AB$4+SUM($AJ$5:AJ43),"")</f>
        <v/>
      </c>
      <c r="AL43">
        <f>IF(AI43=0,N(AL42),IF(R43&lt;0,N(AL42)+1,0))</f>
        <v>1</v>
      </c>
      <c r="AM43">
        <f>IF(AI43=0,N(AM42),IF(R43&gt;0,N(AM42)+1,0))</f>
        <v>0</v>
      </c>
      <c r="AN43">
        <f>IF(AI43=1,MAX('Panel'!$AB$4,N(AN42),AK43),N(AN42))</f>
        <v>21371.061500000033</v>
      </c>
      <c r="AO43">
        <f>IF(AI43=1,AN43-AK43,0)</f>
        <v>0</v>
      </c>
      <c r="AP43">
        <f>IF(AND(AI43=1,AN43&gt;0),AO43/AN43,0)</f>
        <v>0</v>
      </c>
      <c r="AQ43" t="str">
        <f>IF(AI43=1,SUM($AI$5:AI43),"")</f>
        <v/>
      </c>
      <c r="AR43" t="str">
        <f>IF(AI43=1,IF(COUNTIFS($D$5:D43,D43,$AI$5:AI43,1)=1,SUMIFS($AJ$5:$AJ$504,$D$5:$D$504,D43),""),"")</f>
        <v/>
      </c>
      <c r="AS43" t="str">
        <f>IF(AG43=1,WEEKDAY(D43,2),"")</f>
        <v/>
      </c>
      <c r="AT43" s="31" t="str">
        <f>IF(AG43=1,DATE(YEAR(D43),MONTH(D43),1),"")</f>
        <v/>
      </c>
      <c r="AU43">
        <f>IF(AG43=0,0,IF(AND(OR('Prop challenge'!$D$7="",F43='Prop challenge'!$D$7),OR('Prop challenge'!$D$9="",D43&gt;='Prop challenge'!$D$9)),1,0))</f>
        <v>0</v>
      </c>
      <c r="AV43">
        <f>IF(AU43=1,IF(COUNTIFS($D$5:D43,D43,$AU$5:AU43,1)=1,1,0),0)</f>
        <v>0</v>
      </c>
      <c r="AW43" t="str">
        <f>IF(AV43=1,SUM($AV$5:AV43),"")</f>
        <v/>
      </c>
      <c r="AX43" t="str">
        <f>IF(AV43=1,SUMIFS($R$5:$R$504,$D$5:$D$504,D43,$AU$5:$AU$504,1),"")</f>
        <v/>
      </c>
    </row>
    <row r="44">
      <c r="A44" s="20" t="str">
        <f>IF(AG44=1,ROW()-4,"")</f>
        <v/>
      </c>
      <c r="B44" s="21" t="n"/>
      <c r="C44" s="22" t="n"/>
      <c r="D44" s="21" t="n"/>
      <c r="E44" s="22" t="n"/>
      <c r="F44" s="23" t="n"/>
      <c r="G44" s="23" t="n"/>
      <c r="H44" s="23" t="n"/>
      <c r="I44" s="24" t="n"/>
      <c r="J44" s="25" t="n"/>
      <c r="K44" s="25" t="n"/>
      <c r="L44" s="25" t="n"/>
      <c r="M44" s="25" t="n"/>
      <c r="N44" s="26" t="n"/>
      <c r="O44" s="26" t="n"/>
      <c r="P44" s="27" t="str">
        <f>IF(OR(J44="",K44="",I44="",AF44=0,AD44=""),"",(K44-J44)*AF44*I44*AD44*AE44)</f>
        <v/>
      </c>
      <c r="Q44" s="26" t="n"/>
      <c r="R44" s="28" t="str">
        <f>IF(Q44&lt;&gt;"",Q44,IF(P44="","",P44-N(N44)+N(O44)))</f>
        <v/>
      </c>
      <c r="S44" s="27" t="str">
        <f>IF(OR(L44="",J44="",I44="",AD44=""),"",ABS(J44-L44)*I44*AD44*AE44)</f>
        <v/>
      </c>
      <c r="T44" s="29" t="str">
        <f>IF(OR(R44="",S44="",S44=0),"",R44/S44)</f>
        <v/>
      </c>
      <c r="U44" s="20" t="str">
        <f>IF(R44="","",IF(R44&gt;0,"Ganadora",IF(R44&lt;0,"Perdedora","BE")))</f>
        <v/>
      </c>
      <c r="V44" s="23" t="n"/>
      <c r="W44" s="23" t="n"/>
      <c r="X44" s="23" t="n"/>
      <c r="Y44" s="23" t="n"/>
      <c r="Z44" s="23" t="n"/>
      <c r="AA44" s="23" t="n"/>
      <c r="AB44" s="30" t="n"/>
      <c r="AC44" s="1" t="n"/>
      <c r="AD44" s="1" t="str">
        <f>IF(G44="","",IFERROR(INDEX('Listas'!$N$6:$N$35,MATCH(G44,'Listas'!$M$6:$M$35,0)),""))</f>
        <v/>
      </c>
      <c r="AE44">
        <f>IF(G44="",1,IFERROR(INDEX('Listas'!$P$6:$P$35,MATCH(G44,'Listas'!$M$6:$M$35,0)),1))</f>
        <v>1</v>
      </c>
      <c r="AF44">
        <f>IF(H44="Compra",1,IF(H44="Venta",-1,0))</f>
        <v>0</v>
      </c>
      <c r="AG44">
        <f>IF(AND(D44&lt;&gt;"",ISNUMBER(R44)),1,0)</f>
        <v>0</v>
      </c>
      <c r="AH44">
        <f>IF(AG44=0,0,IF(OR('Panel'!$D$5="Todas las cuentas",'Panel'!$D$5="",F44='Panel'!$D$5),1,0))</f>
        <v>0</v>
      </c>
      <c r="AI44">
        <f>IF(AH44=0,0,IF(AND(OR('Panel'!$G$5="",D44&gt;='Panel'!$G$5),OR('Panel'!$J$5="",D44&lt;='Panel'!$J$5)),1,0))</f>
        <v>0</v>
      </c>
      <c r="AJ44">
        <f>IF(AI44=1,R44,0)</f>
        <v>0</v>
      </c>
      <c r="AK44" t="str">
        <f>IF(AI44=1,'Panel'!$AB$4+SUM($AJ$5:AJ44),"")</f>
        <v/>
      </c>
      <c r="AL44">
        <f>IF(AI44=0,N(AL43),IF(R44&lt;0,N(AL43)+1,0))</f>
        <v>1</v>
      </c>
      <c r="AM44">
        <f>IF(AI44=0,N(AM43),IF(R44&gt;0,N(AM43)+1,0))</f>
        <v>0</v>
      </c>
      <c r="AN44">
        <f>IF(AI44=1,MAX('Panel'!$AB$4,N(AN43),AK44),N(AN43))</f>
        <v>21371.061500000033</v>
      </c>
      <c r="AO44">
        <f>IF(AI44=1,AN44-AK44,0)</f>
        <v>0</v>
      </c>
      <c r="AP44">
        <f>IF(AND(AI44=1,AN44&gt;0),AO44/AN44,0)</f>
        <v>0</v>
      </c>
      <c r="AQ44" t="str">
        <f>IF(AI44=1,SUM($AI$5:AI44),"")</f>
        <v/>
      </c>
      <c r="AR44" t="str">
        <f>IF(AI44=1,IF(COUNTIFS($D$5:D44,D44,$AI$5:AI44,1)=1,SUMIFS($AJ$5:$AJ$504,$D$5:$D$504,D44),""),"")</f>
        <v/>
      </c>
      <c r="AS44" t="str">
        <f>IF(AG44=1,WEEKDAY(D44,2),"")</f>
        <v/>
      </c>
      <c r="AT44" s="31" t="str">
        <f>IF(AG44=1,DATE(YEAR(D44),MONTH(D44),1),"")</f>
        <v/>
      </c>
      <c r="AU44">
        <f>IF(AG44=0,0,IF(AND(OR('Prop challenge'!$D$7="",F44='Prop challenge'!$D$7),OR('Prop challenge'!$D$9="",D44&gt;='Prop challenge'!$D$9)),1,0))</f>
        <v>0</v>
      </c>
      <c r="AV44">
        <f>IF(AU44=1,IF(COUNTIFS($D$5:D44,D44,$AU$5:AU44,1)=1,1,0),0)</f>
        <v>0</v>
      </c>
      <c r="AW44" t="str">
        <f>IF(AV44=1,SUM($AV$5:AV44),"")</f>
        <v/>
      </c>
      <c r="AX44" t="str">
        <f>IF(AV44=1,SUMIFS($R$5:$R$504,$D$5:$D$504,D44,$AU$5:$AU$504,1),"")</f>
        <v/>
      </c>
    </row>
    <row r="45">
      <c r="A45" s="20" t="str">
        <f>IF(AG45=1,ROW()-4,"")</f>
        <v/>
      </c>
      <c r="B45" s="21" t="n"/>
      <c r="C45" s="22" t="n"/>
      <c r="D45" s="21" t="n"/>
      <c r="E45" s="22" t="n"/>
      <c r="F45" s="23" t="n"/>
      <c r="G45" s="23" t="n"/>
      <c r="H45" s="23" t="n"/>
      <c r="I45" s="24" t="n"/>
      <c r="J45" s="25" t="n"/>
      <c r="K45" s="25" t="n"/>
      <c r="L45" s="25" t="n"/>
      <c r="M45" s="25" t="n"/>
      <c r="N45" s="26" t="n"/>
      <c r="O45" s="26" t="n"/>
      <c r="P45" s="27" t="str">
        <f>IF(OR(J45="",K45="",I45="",AF45=0,AD45=""),"",(K45-J45)*AF45*I45*AD45*AE45)</f>
        <v/>
      </c>
      <c r="Q45" s="26" t="n"/>
      <c r="R45" s="28" t="str">
        <f>IF(Q45&lt;&gt;"",Q45,IF(P45="","",P45-N(N45)+N(O45)))</f>
        <v/>
      </c>
      <c r="S45" s="27" t="str">
        <f>IF(OR(L45="",J45="",I45="",AD45=""),"",ABS(J45-L45)*I45*AD45*AE45)</f>
        <v/>
      </c>
      <c r="T45" s="29" t="str">
        <f>IF(OR(R45="",S45="",S45=0),"",R45/S45)</f>
        <v/>
      </c>
      <c r="U45" s="20" t="str">
        <f>IF(R45="","",IF(R45&gt;0,"Ganadora",IF(R45&lt;0,"Perdedora","BE")))</f>
        <v/>
      </c>
      <c r="V45" s="23" t="n"/>
      <c r="W45" s="23" t="n"/>
      <c r="X45" s="23" t="n"/>
      <c r="Y45" s="23" t="n"/>
      <c r="Z45" s="23" t="n"/>
      <c r="AA45" s="23" t="n"/>
      <c r="AB45" s="30" t="n"/>
      <c r="AC45" s="1" t="n"/>
      <c r="AD45" s="1" t="str">
        <f>IF(G45="","",IFERROR(INDEX('Listas'!$N$6:$N$35,MATCH(G45,'Listas'!$M$6:$M$35,0)),""))</f>
        <v/>
      </c>
      <c r="AE45">
        <f>IF(G45="",1,IFERROR(INDEX('Listas'!$P$6:$P$35,MATCH(G45,'Listas'!$M$6:$M$35,0)),1))</f>
        <v>1</v>
      </c>
      <c r="AF45">
        <f>IF(H45="Compra",1,IF(H45="Venta",-1,0))</f>
        <v>0</v>
      </c>
      <c r="AG45">
        <f>IF(AND(D45&lt;&gt;"",ISNUMBER(R45)),1,0)</f>
        <v>0</v>
      </c>
      <c r="AH45">
        <f>IF(AG45=0,0,IF(OR('Panel'!$D$5="Todas las cuentas",'Panel'!$D$5="",F45='Panel'!$D$5),1,0))</f>
        <v>0</v>
      </c>
      <c r="AI45">
        <f>IF(AH45=0,0,IF(AND(OR('Panel'!$G$5="",D45&gt;='Panel'!$G$5),OR('Panel'!$J$5="",D45&lt;='Panel'!$J$5)),1,0))</f>
        <v>0</v>
      </c>
      <c r="AJ45">
        <f>IF(AI45=1,R45,0)</f>
        <v>0</v>
      </c>
      <c r="AK45" t="str">
        <f>IF(AI45=1,'Panel'!$AB$4+SUM($AJ$5:AJ45),"")</f>
        <v/>
      </c>
      <c r="AL45">
        <f>IF(AI45=0,N(AL44),IF(R45&lt;0,N(AL44)+1,0))</f>
        <v>1</v>
      </c>
      <c r="AM45">
        <f>IF(AI45=0,N(AM44),IF(R45&gt;0,N(AM44)+1,0))</f>
        <v>0</v>
      </c>
      <c r="AN45">
        <f>IF(AI45=1,MAX('Panel'!$AB$4,N(AN44),AK45),N(AN44))</f>
        <v>21371.061500000033</v>
      </c>
      <c r="AO45">
        <f>IF(AI45=1,AN45-AK45,0)</f>
        <v>0</v>
      </c>
      <c r="AP45">
        <f>IF(AND(AI45=1,AN45&gt;0),AO45/AN45,0)</f>
        <v>0</v>
      </c>
      <c r="AQ45" t="str">
        <f>IF(AI45=1,SUM($AI$5:AI45),"")</f>
        <v/>
      </c>
      <c r="AR45" t="str">
        <f>IF(AI45=1,IF(COUNTIFS($D$5:D45,D45,$AI$5:AI45,1)=1,SUMIFS($AJ$5:$AJ$504,$D$5:$D$504,D45),""),"")</f>
        <v/>
      </c>
      <c r="AS45" t="str">
        <f>IF(AG45=1,WEEKDAY(D45,2),"")</f>
        <v/>
      </c>
      <c r="AT45" s="31" t="str">
        <f>IF(AG45=1,DATE(YEAR(D45),MONTH(D45),1),"")</f>
        <v/>
      </c>
      <c r="AU45">
        <f>IF(AG45=0,0,IF(AND(OR('Prop challenge'!$D$7="",F45='Prop challenge'!$D$7),OR('Prop challenge'!$D$9="",D45&gt;='Prop challenge'!$D$9)),1,0))</f>
        <v>0</v>
      </c>
      <c r="AV45">
        <f>IF(AU45=1,IF(COUNTIFS($D$5:D45,D45,$AU$5:AU45,1)=1,1,0),0)</f>
        <v>0</v>
      </c>
      <c r="AW45" t="str">
        <f>IF(AV45=1,SUM($AV$5:AV45),"")</f>
        <v/>
      </c>
      <c r="AX45" t="str">
        <f>IF(AV45=1,SUMIFS($R$5:$R$504,$D$5:$D$504,D45,$AU$5:$AU$504,1),"")</f>
        <v/>
      </c>
    </row>
    <row r="46">
      <c r="A46" s="20" t="str">
        <f>IF(AG46=1,ROW()-4,"")</f>
        <v/>
      </c>
      <c r="B46" s="21" t="n"/>
      <c r="C46" s="22" t="n"/>
      <c r="D46" s="21" t="n"/>
      <c r="E46" s="22" t="n"/>
      <c r="F46" s="23" t="n"/>
      <c r="G46" s="23" t="n"/>
      <c r="H46" s="23" t="n"/>
      <c r="I46" s="24" t="n"/>
      <c r="J46" s="25" t="n"/>
      <c r="K46" s="25" t="n"/>
      <c r="L46" s="25" t="n"/>
      <c r="M46" s="25" t="n"/>
      <c r="N46" s="26" t="n"/>
      <c r="O46" s="26" t="n"/>
      <c r="P46" s="27" t="str">
        <f>IF(OR(J46="",K46="",I46="",AF46=0,AD46=""),"",(K46-J46)*AF46*I46*AD46*AE46)</f>
        <v/>
      </c>
      <c r="Q46" s="26" t="n"/>
      <c r="R46" s="28" t="str">
        <f>IF(Q46&lt;&gt;"",Q46,IF(P46="","",P46-N(N46)+N(O46)))</f>
        <v/>
      </c>
      <c r="S46" s="27" t="str">
        <f>IF(OR(L46="",J46="",I46="",AD46=""),"",ABS(J46-L46)*I46*AD46*AE46)</f>
        <v/>
      </c>
      <c r="T46" s="29" t="str">
        <f>IF(OR(R46="",S46="",S46=0),"",R46/S46)</f>
        <v/>
      </c>
      <c r="U46" s="20" t="str">
        <f>IF(R46="","",IF(R46&gt;0,"Ganadora",IF(R46&lt;0,"Perdedora","BE")))</f>
        <v/>
      </c>
      <c r="V46" s="23" t="n"/>
      <c r="W46" s="23" t="n"/>
      <c r="X46" s="23" t="n"/>
      <c r="Y46" s="23" t="n"/>
      <c r="Z46" s="23" t="n"/>
      <c r="AA46" s="23" t="n"/>
      <c r="AB46" s="30" t="n"/>
      <c r="AC46" s="1" t="n"/>
      <c r="AD46" s="1" t="str">
        <f>IF(G46="","",IFERROR(INDEX('Listas'!$N$6:$N$35,MATCH(G46,'Listas'!$M$6:$M$35,0)),""))</f>
        <v/>
      </c>
      <c r="AE46">
        <f>IF(G46="",1,IFERROR(INDEX('Listas'!$P$6:$P$35,MATCH(G46,'Listas'!$M$6:$M$35,0)),1))</f>
        <v>1</v>
      </c>
      <c r="AF46">
        <f>IF(H46="Compra",1,IF(H46="Venta",-1,0))</f>
        <v>0</v>
      </c>
      <c r="AG46">
        <f>IF(AND(D46&lt;&gt;"",ISNUMBER(R46)),1,0)</f>
        <v>0</v>
      </c>
      <c r="AH46">
        <f>IF(AG46=0,0,IF(OR('Panel'!$D$5="Todas las cuentas",'Panel'!$D$5="",F46='Panel'!$D$5),1,0))</f>
        <v>0</v>
      </c>
      <c r="AI46">
        <f>IF(AH46=0,0,IF(AND(OR('Panel'!$G$5="",D46&gt;='Panel'!$G$5),OR('Panel'!$J$5="",D46&lt;='Panel'!$J$5)),1,0))</f>
        <v>0</v>
      </c>
      <c r="AJ46">
        <f>IF(AI46=1,R46,0)</f>
        <v>0</v>
      </c>
      <c r="AK46" t="str">
        <f>IF(AI46=1,'Panel'!$AB$4+SUM($AJ$5:AJ46),"")</f>
        <v/>
      </c>
      <c r="AL46">
        <f>IF(AI46=0,N(AL45),IF(R46&lt;0,N(AL45)+1,0))</f>
        <v>1</v>
      </c>
      <c r="AM46">
        <f>IF(AI46=0,N(AM45),IF(R46&gt;0,N(AM45)+1,0))</f>
        <v>0</v>
      </c>
      <c r="AN46">
        <f>IF(AI46=1,MAX('Panel'!$AB$4,N(AN45),AK46),N(AN45))</f>
        <v>21371.061500000033</v>
      </c>
      <c r="AO46">
        <f>IF(AI46=1,AN46-AK46,0)</f>
        <v>0</v>
      </c>
      <c r="AP46">
        <f>IF(AND(AI46=1,AN46&gt;0),AO46/AN46,0)</f>
        <v>0</v>
      </c>
      <c r="AQ46" t="str">
        <f>IF(AI46=1,SUM($AI$5:AI46),"")</f>
        <v/>
      </c>
      <c r="AR46" t="str">
        <f>IF(AI46=1,IF(COUNTIFS($D$5:D46,D46,$AI$5:AI46,1)=1,SUMIFS($AJ$5:$AJ$504,$D$5:$D$504,D46),""),"")</f>
        <v/>
      </c>
      <c r="AS46" t="str">
        <f>IF(AG46=1,WEEKDAY(D46,2),"")</f>
        <v/>
      </c>
      <c r="AT46" s="31" t="str">
        <f>IF(AG46=1,DATE(YEAR(D46),MONTH(D46),1),"")</f>
        <v/>
      </c>
      <c r="AU46">
        <f>IF(AG46=0,0,IF(AND(OR('Prop challenge'!$D$7="",F46='Prop challenge'!$D$7),OR('Prop challenge'!$D$9="",D46&gt;='Prop challenge'!$D$9)),1,0))</f>
        <v>0</v>
      </c>
      <c r="AV46">
        <f>IF(AU46=1,IF(COUNTIFS($D$5:D46,D46,$AU$5:AU46,1)=1,1,0),0)</f>
        <v>0</v>
      </c>
      <c r="AW46" t="str">
        <f>IF(AV46=1,SUM($AV$5:AV46),"")</f>
        <v/>
      </c>
      <c r="AX46" t="str">
        <f>IF(AV46=1,SUMIFS($R$5:$R$504,$D$5:$D$504,D46,$AU$5:$AU$504,1),"")</f>
        <v/>
      </c>
    </row>
    <row r="47">
      <c r="A47" s="20" t="str">
        <f>IF(AG47=1,ROW()-4,"")</f>
        <v/>
      </c>
      <c r="B47" s="21" t="n"/>
      <c r="C47" s="22" t="n"/>
      <c r="D47" s="21" t="n"/>
      <c r="E47" s="22" t="n"/>
      <c r="F47" s="23" t="n"/>
      <c r="G47" s="23" t="n"/>
      <c r="H47" s="23" t="n"/>
      <c r="I47" s="24" t="n"/>
      <c r="J47" s="25" t="n"/>
      <c r="K47" s="25" t="n"/>
      <c r="L47" s="25" t="n"/>
      <c r="M47" s="25" t="n"/>
      <c r="N47" s="26" t="n"/>
      <c r="O47" s="26" t="n"/>
      <c r="P47" s="27" t="str">
        <f>IF(OR(J47="",K47="",I47="",AF47=0,AD47=""),"",(K47-J47)*AF47*I47*AD47*AE47)</f>
        <v/>
      </c>
      <c r="Q47" s="26" t="n"/>
      <c r="R47" s="28" t="str">
        <f>IF(Q47&lt;&gt;"",Q47,IF(P47="","",P47-N(N47)+N(O47)))</f>
        <v/>
      </c>
      <c r="S47" s="27" t="str">
        <f>IF(OR(L47="",J47="",I47="",AD47=""),"",ABS(J47-L47)*I47*AD47*AE47)</f>
        <v/>
      </c>
      <c r="T47" s="29" t="str">
        <f>IF(OR(R47="",S47="",S47=0),"",R47/S47)</f>
        <v/>
      </c>
      <c r="U47" s="20" t="str">
        <f>IF(R47="","",IF(R47&gt;0,"Ganadora",IF(R47&lt;0,"Perdedora","BE")))</f>
        <v/>
      </c>
      <c r="V47" s="23" t="n"/>
      <c r="W47" s="23" t="n"/>
      <c r="X47" s="23" t="n"/>
      <c r="Y47" s="23" t="n"/>
      <c r="Z47" s="23" t="n"/>
      <c r="AA47" s="23" t="n"/>
      <c r="AB47" s="30" t="n"/>
      <c r="AC47" s="1" t="n"/>
      <c r="AD47" s="1" t="str">
        <f>IF(G47="","",IFERROR(INDEX('Listas'!$N$6:$N$35,MATCH(G47,'Listas'!$M$6:$M$35,0)),""))</f>
        <v/>
      </c>
      <c r="AE47">
        <f>IF(G47="",1,IFERROR(INDEX('Listas'!$P$6:$P$35,MATCH(G47,'Listas'!$M$6:$M$35,0)),1))</f>
        <v>1</v>
      </c>
      <c r="AF47">
        <f>IF(H47="Compra",1,IF(H47="Venta",-1,0))</f>
        <v>0</v>
      </c>
      <c r="AG47">
        <f>IF(AND(D47&lt;&gt;"",ISNUMBER(R47)),1,0)</f>
        <v>0</v>
      </c>
      <c r="AH47">
        <f>IF(AG47=0,0,IF(OR('Panel'!$D$5="Todas las cuentas",'Panel'!$D$5="",F47='Panel'!$D$5),1,0))</f>
        <v>0</v>
      </c>
      <c r="AI47">
        <f>IF(AH47=0,0,IF(AND(OR('Panel'!$G$5="",D47&gt;='Panel'!$G$5),OR('Panel'!$J$5="",D47&lt;='Panel'!$J$5)),1,0))</f>
        <v>0</v>
      </c>
      <c r="AJ47">
        <f>IF(AI47=1,R47,0)</f>
        <v>0</v>
      </c>
      <c r="AK47" t="str">
        <f>IF(AI47=1,'Panel'!$AB$4+SUM($AJ$5:AJ47),"")</f>
        <v/>
      </c>
      <c r="AL47">
        <f>IF(AI47=0,N(AL46),IF(R47&lt;0,N(AL46)+1,0))</f>
        <v>1</v>
      </c>
      <c r="AM47">
        <f>IF(AI47=0,N(AM46),IF(R47&gt;0,N(AM46)+1,0))</f>
        <v>0</v>
      </c>
      <c r="AN47">
        <f>IF(AI47=1,MAX('Panel'!$AB$4,N(AN46),AK47),N(AN46))</f>
        <v>21371.061500000033</v>
      </c>
      <c r="AO47">
        <f>IF(AI47=1,AN47-AK47,0)</f>
        <v>0</v>
      </c>
      <c r="AP47">
        <f>IF(AND(AI47=1,AN47&gt;0),AO47/AN47,0)</f>
        <v>0</v>
      </c>
      <c r="AQ47" t="str">
        <f>IF(AI47=1,SUM($AI$5:AI47),"")</f>
        <v/>
      </c>
      <c r="AR47" t="str">
        <f>IF(AI47=1,IF(COUNTIFS($D$5:D47,D47,$AI$5:AI47,1)=1,SUMIFS($AJ$5:$AJ$504,$D$5:$D$504,D47),""),"")</f>
        <v/>
      </c>
      <c r="AS47" t="str">
        <f>IF(AG47=1,WEEKDAY(D47,2),"")</f>
        <v/>
      </c>
      <c r="AT47" s="31" t="str">
        <f>IF(AG47=1,DATE(YEAR(D47),MONTH(D47),1),"")</f>
        <v/>
      </c>
      <c r="AU47">
        <f>IF(AG47=0,0,IF(AND(OR('Prop challenge'!$D$7="",F47='Prop challenge'!$D$7),OR('Prop challenge'!$D$9="",D47&gt;='Prop challenge'!$D$9)),1,0))</f>
        <v>0</v>
      </c>
      <c r="AV47">
        <f>IF(AU47=1,IF(COUNTIFS($D$5:D47,D47,$AU$5:AU47,1)=1,1,0),0)</f>
        <v>0</v>
      </c>
      <c r="AW47" t="str">
        <f>IF(AV47=1,SUM($AV$5:AV47),"")</f>
        <v/>
      </c>
      <c r="AX47" t="str">
        <f>IF(AV47=1,SUMIFS($R$5:$R$504,$D$5:$D$504,D47,$AU$5:$AU$504,1),"")</f>
        <v/>
      </c>
    </row>
    <row r="48">
      <c r="A48" s="20" t="str">
        <f>IF(AG48=1,ROW()-4,"")</f>
        <v/>
      </c>
      <c r="B48" s="21" t="n"/>
      <c r="C48" s="22" t="n"/>
      <c r="D48" s="21" t="n"/>
      <c r="E48" s="22" t="n"/>
      <c r="F48" s="23" t="n"/>
      <c r="G48" s="23" t="n"/>
      <c r="H48" s="23" t="n"/>
      <c r="I48" s="24" t="n"/>
      <c r="J48" s="25" t="n"/>
      <c r="K48" s="25" t="n"/>
      <c r="L48" s="25" t="n"/>
      <c r="M48" s="25" t="n"/>
      <c r="N48" s="26" t="n"/>
      <c r="O48" s="26" t="n"/>
      <c r="P48" s="27" t="str">
        <f>IF(OR(J48="",K48="",I48="",AF48=0,AD48=""),"",(K48-J48)*AF48*I48*AD48*AE48)</f>
        <v/>
      </c>
      <c r="Q48" s="26" t="n"/>
      <c r="R48" s="28" t="str">
        <f>IF(Q48&lt;&gt;"",Q48,IF(P48="","",P48-N(N48)+N(O48)))</f>
        <v/>
      </c>
      <c r="S48" s="27" t="str">
        <f>IF(OR(L48="",J48="",I48="",AD48=""),"",ABS(J48-L48)*I48*AD48*AE48)</f>
        <v/>
      </c>
      <c r="T48" s="29" t="str">
        <f>IF(OR(R48="",S48="",S48=0),"",R48/S48)</f>
        <v/>
      </c>
      <c r="U48" s="20" t="str">
        <f>IF(R48="","",IF(R48&gt;0,"Ganadora",IF(R48&lt;0,"Perdedora","BE")))</f>
        <v/>
      </c>
      <c r="V48" s="23" t="n"/>
      <c r="W48" s="23" t="n"/>
      <c r="X48" s="23" t="n"/>
      <c r="Y48" s="23" t="n"/>
      <c r="Z48" s="23" t="n"/>
      <c r="AA48" s="23" t="n"/>
      <c r="AB48" s="30" t="n"/>
      <c r="AC48" s="1" t="n"/>
      <c r="AD48" s="1" t="str">
        <f>IF(G48="","",IFERROR(INDEX('Listas'!$N$6:$N$35,MATCH(G48,'Listas'!$M$6:$M$35,0)),""))</f>
        <v/>
      </c>
      <c r="AE48">
        <f>IF(G48="",1,IFERROR(INDEX('Listas'!$P$6:$P$35,MATCH(G48,'Listas'!$M$6:$M$35,0)),1))</f>
        <v>1</v>
      </c>
      <c r="AF48">
        <f>IF(H48="Compra",1,IF(H48="Venta",-1,0))</f>
        <v>0</v>
      </c>
      <c r="AG48">
        <f>IF(AND(D48&lt;&gt;"",ISNUMBER(R48)),1,0)</f>
        <v>0</v>
      </c>
      <c r="AH48">
        <f>IF(AG48=0,0,IF(OR('Panel'!$D$5="Todas las cuentas",'Panel'!$D$5="",F48='Panel'!$D$5),1,0))</f>
        <v>0</v>
      </c>
      <c r="AI48">
        <f>IF(AH48=0,0,IF(AND(OR('Panel'!$G$5="",D48&gt;='Panel'!$G$5),OR('Panel'!$J$5="",D48&lt;='Panel'!$J$5)),1,0))</f>
        <v>0</v>
      </c>
      <c r="AJ48">
        <f>IF(AI48=1,R48,0)</f>
        <v>0</v>
      </c>
      <c r="AK48" t="str">
        <f>IF(AI48=1,'Panel'!$AB$4+SUM($AJ$5:AJ48),"")</f>
        <v/>
      </c>
      <c r="AL48">
        <f>IF(AI48=0,N(AL47),IF(R48&lt;0,N(AL47)+1,0))</f>
        <v>1</v>
      </c>
      <c r="AM48">
        <f>IF(AI48=0,N(AM47),IF(R48&gt;0,N(AM47)+1,0))</f>
        <v>0</v>
      </c>
      <c r="AN48">
        <f>IF(AI48=1,MAX('Panel'!$AB$4,N(AN47),AK48),N(AN47))</f>
        <v>21371.061500000033</v>
      </c>
      <c r="AO48">
        <f>IF(AI48=1,AN48-AK48,0)</f>
        <v>0</v>
      </c>
      <c r="AP48">
        <f>IF(AND(AI48=1,AN48&gt;0),AO48/AN48,0)</f>
        <v>0</v>
      </c>
      <c r="AQ48" t="str">
        <f>IF(AI48=1,SUM($AI$5:AI48),"")</f>
        <v/>
      </c>
      <c r="AR48" t="str">
        <f>IF(AI48=1,IF(COUNTIFS($D$5:D48,D48,$AI$5:AI48,1)=1,SUMIFS($AJ$5:$AJ$504,$D$5:$D$504,D48),""),"")</f>
        <v/>
      </c>
      <c r="AS48" t="str">
        <f>IF(AG48=1,WEEKDAY(D48,2),"")</f>
        <v/>
      </c>
      <c r="AT48" s="31" t="str">
        <f>IF(AG48=1,DATE(YEAR(D48),MONTH(D48),1),"")</f>
        <v/>
      </c>
      <c r="AU48">
        <f>IF(AG48=0,0,IF(AND(OR('Prop challenge'!$D$7="",F48='Prop challenge'!$D$7),OR('Prop challenge'!$D$9="",D48&gt;='Prop challenge'!$D$9)),1,0))</f>
        <v>0</v>
      </c>
      <c r="AV48">
        <f>IF(AU48=1,IF(COUNTIFS($D$5:D48,D48,$AU$5:AU48,1)=1,1,0),0)</f>
        <v>0</v>
      </c>
      <c r="AW48" t="str">
        <f>IF(AV48=1,SUM($AV$5:AV48),"")</f>
        <v/>
      </c>
      <c r="AX48" t="str">
        <f>IF(AV48=1,SUMIFS($R$5:$R$504,$D$5:$D$504,D48,$AU$5:$AU$504,1),"")</f>
        <v/>
      </c>
    </row>
    <row r="49">
      <c r="A49" s="20" t="str">
        <f>IF(AG49=1,ROW()-4,"")</f>
        <v/>
      </c>
      <c r="B49" s="21" t="n"/>
      <c r="C49" s="22" t="n"/>
      <c r="D49" s="21" t="n"/>
      <c r="E49" s="22" t="n"/>
      <c r="F49" s="23" t="n"/>
      <c r="G49" s="23" t="n"/>
      <c r="H49" s="23" t="n"/>
      <c r="I49" s="24" t="n"/>
      <c r="J49" s="25" t="n"/>
      <c r="K49" s="25" t="n"/>
      <c r="L49" s="25" t="n"/>
      <c r="M49" s="25" t="n"/>
      <c r="N49" s="26" t="n"/>
      <c r="O49" s="26" t="n"/>
      <c r="P49" s="27" t="str">
        <f>IF(OR(J49="",K49="",I49="",AF49=0,AD49=""),"",(K49-J49)*AF49*I49*AD49*AE49)</f>
        <v/>
      </c>
      <c r="Q49" s="26" t="n"/>
      <c r="R49" s="28" t="str">
        <f>IF(Q49&lt;&gt;"",Q49,IF(P49="","",P49-N(N49)+N(O49)))</f>
        <v/>
      </c>
      <c r="S49" s="27" t="str">
        <f>IF(OR(L49="",J49="",I49="",AD49=""),"",ABS(J49-L49)*I49*AD49*AE49)</f>
        <v/>
      </c>
      <c r="T49" s="29" t="str">
        <f>IF(OR(R49="",S49="",S49=0),"",R49/S49)</f>
        <v/>
      </c>
      <c r="U49" s="20" t="str">
        <f>IF(R49="","",IF(R49&gt;0,"Ganadora",IF(R49&lt;0,"Perdedora","BE")))</f>
        <v/>
      </c>
      <c r="V49" s="23" t="n"/>
      <c r="W49" s="23" t="n"/>
      <c r="X49" s="23" t="n"/>
      <c r="Y49" s="23" t="n"/>
      <c r="Z49" s="23" t="n"/>
      <c r="AA49" s="23" t="n"/>
      <c r="AB49" s="30" t="n"/>
      <c r="AC49" s="1" t="n"/>
      <c r="AD49" s="1" t="str">
        <f>IF(G49="","",IFERROR(INDEX('Listas'!$N$6:$N$35,MATCH(G49,'Listas'!$M$6:$M$35,0)),""))</f>
        <v/>
      </c>
      <c r="AE49">
        <f>IF(G49="",1,IFERROR(INDEX('Listas'!$P$6:$P$35,MATCH(G49,'Listas'!$M$6:$M$35,0)),1))</f>
        <v>1</v>
      </c>
      <c r="AF49">
        <f>IF(H49="Compra",1,IF(H49="Venta",-1,0))</f>
        <v>0</v>
      </c>
      <c r="AG49">
        <f>IF(AND(D49&lt;&gt;"",ISNUMBER(R49)),1,0)</f>
        <v>0</v>
      </c>
      <c r="AH49">
        <f>IF(AG49=0,0,IF(OR('Panel'!$D$5="Todas las cuentas",'Panel'!$D$5="",F49='Panel'!$D$5),1,0))</f>
        <v>0</v>
      </c>
      <c r="AI49">
        <f>IF(AH49=0,0,IF(AND(OR('Panel'!$G$5="",D49&gt;='Panel'!$G$5),OR('Panel'!$J$5="",D49&lt;='Panel'!$J$5)),1,0))</f>
        <v>0</v>
      </c>
      <c r="AJ49">
        <f>IF(AI49=1,R49,0)</f>
        <v>0</v>
      </c>
      <c r="AK49" t="str">
        <f>IF(AI49=1,'Panel'!$AB$4+SUM($AJ$5:AJ49),"")</f>
        <v/>
      </c>
      <c r="AL49">
        <f>IF(AI49=0,N(AL48),IF(R49&lt;0,N(AL48)+1,0))</f>
        <v>1</v>
      </c>
      <c r="AM49">
        <f>IF(AI49=0,N(AM48),IF(R49&gt;0,N(AM48)+1,0))</f>
        <v>0</v>
      </c>
      <c r="AN49">
        <f>IF(AI49=1,MAX('Panel'!$AB$4,N(AN48),AK49),N(AN48))</f>
        <v>21371.061500000033</v>
      </c>
      <c r="AO49">
        <f>IF(AI49=1,AN49-AK49,0)</f>
        <v>0</v>
      </c>
      <c r="AP49">
        <f>IF(AND(AI49=1,AN49&gt;0),AO49/AN49,0)</f>
        <v>0</v>
      </c>
      <c r="AQ49" t="str">
        <f>IF(AI49=1,SUM($AI$5:AI49),"")</f>
        <v/>
      </c>
      <c r="AR49" t="str">
        <f>IF(AI49=1,IF(COUNTIFS($D$5:D49,D49,$AI$5:AI49,1)=1,SUMIFS($AJ$5:$AJ$504,$D$5:$D$504,D49),""),"")</f>
        <v/>
      </c>
      <c r="AS49" t="str">
        <f>IF(AG49=1,WEEKDAY(D49,2),"")</f>
        <v/>
      </c>
      <c r="AT49" s="31" t="str">
        <f>IF(AG49=1,DATE(YEAR(D49),MONTH(D49),1),"")</f>
        <v/>
      </c>
      <c r="AU49">
        <f>IF(AG49=0,0,IF(AND(OR('Prop challenge'!$D$7="",F49='Prop challenge'!$D$7),OR('Prop challenge'!$D$9="",D49&gt;='Prop challenge'!$D$9)),1,0))</f>
        <v>0</v>
      </c>
      <c r="AV49">
        <f>IF(AU49=1,IF(COUNTIFS($D$5:D49,D49,$AU$5:AU49,1)=1,1,0),0)</f>
        <v>0</v>
      </c>
      <c r="AW49" t="str">
        <f>IF(AV49=1,SUM($AV$5:AV49),"")</f>
        <v/>
      </c>
      <c r="AX49" t="str">
        <f>IF(AV49=1,SUMIFS($R$5:$R$504,$D$5:$D$504,D49,$AU$5:$AU$504,1),"")</f>
        <v/>
      </c>
    </row>
    <row r="50">
      <c r="A50" s="20" t="str">
        <f>IF(AG50=1,ROW()-4,"")</f>
        <v/>
      </c>
      <c r="B50" s="21" t="n"/>
      <c r="C50" s="22" t="n"/>
      <c r="D50" s="21" t="n"/>
      <c r="E50" s="22" t="n"/>
      <c r="F50" s="23" t="n"/>
      <c r="G50" s="23" t="n"/>
      <c r="H50" s="23" t="n"/>
      <c r="I50" s="24" t="n"/>
      <c r="J50" s="25" t="n"/>
      <c r="K50" s="25" t="n"/>
      <c r="L50" s="25" t="n"/>
      <c r="M50" s="25" t="n"/>
      <c r="N50" s="26" t="n"/>
      <c r="O50" s="26" t="n"/>
      <c r="P50" s="27" t="str">
        <f>IF(OR(J50="",K50="",I50="",AF50=0,AD50=""),"",(K50-J50)*AF50*I50*AD50*AE50)</f>
        <v/>
      </c>
      <c r="Q50" s="26" t="n"/>
      <c r="R50" s="28" t="str">
        <f>IF(Q50&lt;&gt;"",Q50,IF(P50="","",P50-N(N50)+N(O50)))</f>
        <v/>
      </c>
      <c r="S50" s="27" t="str">
        <f>IF(OR(L50="",J50="",I50="",AD50=""),"",ABS(J50-L50)*I50*AD50*AE50)</f>
        <v/>
      </c>
      <c r="T50" s="29" t="str">
        <f>IF(OR(R50="",S50="",S50=0),"",R50/S50)</f>
        <v/>
      </c>
      <c r="U50" s="20" t="str">
        <f>IF(R50="","",IF(R50&gt;0,"Ganadora",IF(R50&lt;0,"Perdedora","BE")))</f>
        <v/>
      </c>
      <c r="V50" s="23" t="n"/>
      <c r="W50" s="23" t="n"/>
      <c r="X50" s="23" t="n"/>
      <c r="Y50" s="23" t="n"/>
      <c r="Z50" s="23" t="n"/>
      <c r="AA50" s="23" t="n"/>
      <c r="AB50" s="30" t="n"/>
      <c r="AC50" s="1" t="n"/>
      <c r="AD50" s="1" t="str">
        <f>IF(G50="","",IFERROR(INDEX('Listas'!$N$6:$N$35,MATCH(G50,'Listas'!$M$6:$M$35,0)),""))</f>
        <v/>
      </c>
      <c r="AE50">
        <f>IF(G50="",1,IFERROR(INDEX('Listas'!$P$6:$P$35,MATCH(G50,'Listas'!$M$6:$M$35,0)),1))</f>
        <v>1</v>
      </c>
      <c r="AF50">
        <f>IF(H50="Compra",1,IF(H50="Venta",-1,0))</f>
        <v>0</v>
      </c>
      <c r="AG50">
        <f>IF(AND(D50&lt;&gt;"",ISNUMBER(R50)),1,0)</f>
        <v>0</v>
      </c>
      <c r="AH50">
        <f>IF(AG50=0,0,IF(OR('Panel'!$D$5="Todas las cuentas",'Panel'!$D$5="",F50='Panel'!$D$5),1,0))</f>
        <v>0</v>
      </c>
      <c r="AI50">
        <f>IF(AH50=0,0,IF(AND(OR('Panel'!$G$5="",D50&gt;='Panel'!$G$5),OR('Panel'!$J$5="",D50&lt;='Panel'!$J$5)),1,0))</f>
        <v>0</v>
      </c>
      <c r="AJ50">
        <f>IF(AI50=1,R50,0)</f>
        <v>0</v>
      </c>
      <c r="AK50" t="str">
        <f>IF(AI50=1,'Panel'!$AB$4+SUM($AJ$5:AJ50),"")</f>
        <v/>
      </c>
      <c r="AL50">
        <f>IF(AI50=0,N(AL49),IF(R50&lt;0,N(AL49)+1,0))</f>
        <v>1</v>
      </c>
      <c r="AM50">
        <f>IF(AI50=0,N(AM49),IF(R50&gt;0,N(AM49)+1,0))</f>
        <v>0</v>
      </c>
      <c r="AN50">
        <f>IF(AI50=1,MAX('Panel'!$AB$4,N(AN49),AK50),N(AN49))</f>
        <v>21371.061500000033</v>
      </c>
      <c r="AO50">
        <f>IF(AI50=1,AN50-AK50,0)</f>
        <v>0</v>
      </c>
      <c r="AP50">
        <f>IF(AND(AI50=1,AN50&gt;0),AO50/AN50,0)</f>
        <v>0</v>
      </c>
      <c r="AQ50" t="str">
        <f>IF(AI50=1,SUM($AI$5:AI50),"")</f>
        <v/>
      </c>
      <c r="AR50" t="str">
        <f>IF(AI50=1,IF(COUNTIFS($D$5:D50,D50,$AI$5:AI50,1)=1,SUMIFS($AJ$5:$AJ$504,$D$5:$D$504,D50),""),"")</f>
        <v/>
      </c>
      <c r="AS50" t="str">
        <f>IF(AG50=1,WEEKDAY(D50,2),"")</f>
        <v/>
      </c>
      <c r="AT50" s="31" t="str">
        <f>IF(AG50=1,DATE(YEAR(D50),MONTH(D50),1),"")</f>
        <v/>
      </c>
      <c r="AU50">
        <f>IF(AG50=0,0,IF(AND(OR('Prop challenge'!$D$7="",F50='Prop challenge'!$D$7),OR('Prop challenge'!$D$9="",D50&gt;='Prop challenge'!$D$9)),1,0))</f>
        <v>0</v>
      </c>
      <c r="AV50">
        <f>IF(AU50=1,IF(COUNTIFS($D$5:D50,D50,$AU$5:AU50,1)=1,1,0),0)</f>
        <v>0</v>
      </c>
      <c r="AW50" t="str">
        <f>IF(AV50=1,SUM($AV$5:AV50),"")</f>
        <v/>
      </c>
      <c r="AX50" t="str">
        <f>IF(AV50=1,SUMIFS($R$5:$R$504,$D$5:$D$504,D50,$AU$5:$AU$504,1),"")</f>
        <v/>
      </c>
    </row>
    <row r="51">
      <c r="A51" s="20" t="str">
        <f>IF(AG51=1,ROW()-4,"")</f>
        <v/>
      </c>
      <c r="B51" s="21" t="n"/>
      <c r="C51" s="22" t="n"/>
      <c r="D51" s="21" t="n"/>
      <c r="E51" s="22" t="n"/>
      <c r="F51" s="23" t="n"/>
      <c r="G51" s="23" t="n"/>
      <c r="H51" s="23" t="n"/>
      <c r="I51" s="24" t="n"/>
      <c r="J51" s="25" t="n"/>
      <c r="K51" s="25" t="n"/>
      <c r="L51" s="25" t="n"/>
      <c r="M51" s="25" t="n"/>
      <c r="N51" s="26" t="n"/>
      <c r="O51" s="26" t="n"/>
      <c r="P51" s="27" t="str">
        <f>IF(OR(J51="",K51="",I51="",AF51=0,AD51=""),"",(K51-J51)*AF51*I51*AD51*AE51)</f>
        <v/>
      </c>
      <c r="Q51" s="26" t="n"/>
      <c r="R51" s="28" t="str">
        <f>IF(Q51&lt;&gt;"",Q51,IF(P51="","",P51-N(N51)+N(O51)))</f>
        <v/>
      </c>
      <c r="S51" s="27" t="str">
        <f>IF(OR(L51="",J51="",I51="",AD51=""),"",ABS(J51-L51)*I51*AD51*AE51)</f>
        <v/>
      </c>
      <c r="T51" s="29" t="str">
        <f>IF(OR(R51="",S51="",S51=0),"",R51/S51)</f>
        <v/>
      </c>
      <c r="U51" s="20" t="str">
        <f>IF(R51="","",IF(R51&gt;0,"Ganadora",IF(R51&lt;0,"Perdedora","BE")))</f>
        <v/>
      </c>
      <c r="V51" s="23" t="n"/>
      <c r="W51" s="23" t="n"/>
      <c r="X51" s="23" t="n"/>
      <c r="Y51" s="23" t="n"/>
      <c r="Z51" s="23" t="n"/>
      <c r="AA51" s="23" t="n"/>
      <c r="AB51" s="30" t="n"/>
      <c r="AC51" s="1" t="n"/>
      <c r="AD51" s="1" t="str">
        <f>IF(G51="","",IFERROR(INDEX('Listas'!$N$6:$N$35,MATCH(G51,'Listas'!$M$6:$M$35,0)),""))</f>
        <v/>
      </c>
      <c r="AE51">
        <f>IF(G51="",1,IFERROR(INDEX('Listas'!$P$6:$P$35,MATCH(G51,'Listas'!$M$6:$M$35,0)),1))</f>
        <v>1</v>
      </c>
      <c r="AF51">
        <f>IF(H51="Compra",1,IF(H51="Venta",-1,0))</f>
        <v>0</v>
      </c>
      <c r="AG51">
        <f>IF(AND(D51&lt;&gt;"",ISNUMBER(R51)),1,0)</f>
        <v>0</v>
      </c>
      <c r="AH51">
        <f>IF(AG51=0,0,IF(OR('Panel'!$D$5="Todas las cuentas",'Panel'!$D$5="",F51='Panel'!$D$5),1,0))</f>
        <v>0</v>
      </c>
      <c r="AI51">
        <f>IF(AH51=0,0,IF(AND(OR('Panel'!$G$5="",D51&gt;='Panel'!$G$5),OR('Panel'!$J$5="",D51&lt;='Panel'!$J$5)),1,0))</f>
        <v>0</v>
      </c>
      <c r="AJ51">
        <f>IF(AI51=1,R51,0)</f>
        <v>0</v>
      </c>
      <c r="AK51" t="str">
        <f>IF(AI51=1,'Panel'!$AB$4+SUM($AJ$5:AJ51),"")</f>
        <v/>
      </c>
      <c r="AL51">
        <f>IF(AI51=0,N(AL50),IF(R51&lt;0,N(AL50)+1,0))</f>
        <v>1</v>
      </c>
      <c r="AM51">
        <f>IF(AI51=0,N(AM50),IF(R51&gt;0,N(AM50)+1,0))</f>
        <v>0</v>
      </c>
      <c r="AN51">
        <f>IF(AI51=1,MAX('Panel'!$AB$4,N(AN50),AK51),N(AN50))</f>
        <v>21371.061500000033</v>
      </c>
      <c r="AO51">
        <f>IF(AI51=1,AN51-AK51,0)</f>
        <v>0</v>
      </c>
      <c r="AP51">
        <f>IF(AND(AI51=1,AN51&gt;0),AO51/AN51,0)</f>
        <v>0</v>
      </c>
      <c r="AQ51" t="str">
        <f>IF(AI51=1,SUM($AI$5:AI51),"")</f>
        <v/>
      </c>
      <c r="AR51" t="str">
        <f>IF(AI51=1,IF(COUNTIFS($D$5:D51,D51,$AI$5:AI51,1)=1,SUMIFS($AJ$5:$AJ$504,$D$5:$D$504,D51),""),"")</f>
        <v/>
      </c>
      <c r="AS51" t="str">
        <f>IF(AG51=1,WEEKDAY(D51,2),"")</f>
        <v/>
      </c>
      <c r="AT51" s="31" t="str">
        <f>IF(AG51=1,DATE(YEAR(D51),MONTH(D51),1),"")</f>
        <v/>
      </c>
      <c r="AU51">
        <f>IF(AG51=0,0,IF(AND(OR('Prop challenge'!$D$7="",F51='Prop challenge'!$D$7),OR('Prop challenge'!$D$9="",D51&gt;='Prop challenge'!$D$9)),1,0))</f>
        <v>0</v>
      </c>
      <c r="AV51">
        <f>IF(AU51=1,IF(COUNTIFS($D$5:D51,D51,$AU$5:AU51,1)=1,1,0),0)</f>
        <v>0</v>
      </c>
      <c r="AW51" t="str">
        <f>IF(AV51=1,SUM($AV$5:AV51),"")</f>
        <v/>
      </c>
      <c r="AX51" t="str">
        <f>IF(AV51=1,SUMIFS($R$5:$R$504,$D$5:$D$504,D51,$AU$5:$AU$504,1),"")</f>
        <v/>
      </c>
    </row>
    <row r="52">
      <c r="A52" s="20" t="str">
        <f>IF(AG52=1,ROW()-4,"")</f>
        <v/>
      </c>
      <c r="B52" s="21" t="n"/>
      <c r="C52" s="22" t="n"/>
      <c r="D52" s="21" t="n"/>
      <c r="E52" s="22" t="n"/>
      <c r="F52" s="23" t="n"/>
      <c r="G52" s="23" t="n"/>
      <c r="H52" s="23" t="n"/>
      <c r="I52" s="24" t="n"/>
      <c r="J52" s="25" t="n"/>
      <c r="K52" s="25" t="n"/>
      <c r="L52" s="25" t="n"/>
      <c r="M52" s="25" t="n"/>
      <c r="N52" s="26" t="n"/>
      <c r="O52" s="26" t="n"/>
      <c r="P52" s="27" t="str">
        <f>IF(OR(J52="",K52="",I52="",AF52=0,AD52=""),"",(K52-J52)*AF52*I52*AD52*AE52)</f>
        <v/>
      </c>
      <c r="Q52" s="26" t="n"/>
      <c r="R52" s="28" t="str">
        <f>IF(Q52&lt;&gt;"",Q52,IF(P52="","",P52-N(N52)+N(O52)))</f>
        <v/>
      </c>
      <c r="S52" s="27" t="str">
        <f>IF(OR(L52="",J52="",I52="",AD52=""),"",ABS(J52-L52)*I52*AD52*AE52)</f>
        <v/>
      </c>
      <c r="T52" s="29" t="str">
        <f>IF(OR(R52="",S52="",S52=0),"",R52/S52)</f>
        <v/>
      </c>
      <c r="U52" s="20" t="str">
        <f>IF(R52="","",IF(R52&gt;0,"Ganadora",IF(R52&lt;0,"Perdedora","BE")))</f>
        <v/>
      </c>
      <c r="V52" s="23" t="n"/>
      <c r="W52" s="23" t="n"/>
      <c r="X52" s="23" t="n"/>
      <c r="Y52" s="23" t="n"/>
      <c r="Z52" s="23" t="n"/>
      <c r="AA52" s="23" t="n"/>
      <c r="AB52" s="30" t="n"/>
      <c r="AC52" s="1" t="n"/>
      <c r="AD52" s="1" t="str">
        <f>IF(G52="","",IFERROR(INDEX('Listas'!$N$6:$N$35,MATCH(G52,'Listas'!$M$6:$M$35,0)),""))</f>
        <v/>
      </c>
      <c r="AE52">
        <f>IF(G52="",1,IFERROR(INDEX('Listas'!$P$6:$P$35,MATCH(G52,'Listas'!$M$6:$M$35,0)),1))</f>
        <v>1</v>
      </c>
      <c r="AF52">
        <f>IF(H52="Compra",1,IF(H52="Venta",-1,0))</f>
        <v>0</v>
      </c>
      <c r="AG52">
        <f>IF(AND(D52&lt;&gt;"",ISNUMBER(R52)),1,0)</f>
        <v>0</v>
      </c>
      <c r="AH52">
        <f>IF(AG52=0,0,IF(OR('Panel'!$D$5="Todas las cuentas",'Panel'!$D$5="",F52='Panel'!$D$5),1,0))</f>
        <v>0</v>
      </c>
      <c r="AI52">
        <f>IF(AH52=0,0,IF(AND(OR('Panel'!$G$5="",D52&gt;='Panel'!$G$5),OR('Panel'!$J$5="",D52&lt;='Panel'!$J$5)),1,0))</f>
        <v>0</v>
      </c>
      <c r="AJ52">
        <f>IF(AI52=1,R52,0)</f>
        <v>0</v>
      </c>
      <c r="AK52" t="str">
        <f>IF(AI52=1,'Panel'!$AB$4+SUM($AJ$5:AJ52),"")</f>
        <v/>
      </c>
      <c r="AL52">
        <f>IF(AI52=0,N(AL51),IF(R52&lt;0,N(AL51)+1,0))</f>
        <v>1</v>
      </c>
      <c r="AM52">
        <f>IF(AI52=0,N(AM51),IF(R52&gt;0,N(AM51)+1,0))</f>
        <v>0</v>
      </c>
      <c r="AN52">
        <f>IF(AI52=1,MAX('Panel'!$AB$4,N(AN51),AK52),N(AN51))</f>
        <v>21371.061500000033</v>
      </c>
      <c r="AO52">
        <f>IF(AI52=1,AN52-AK52,0)</f>
        <v>0</v>
      </c>
      <c r="AP52">
        <f>IF(AND(AI52=1,AN52&gt;0),AO52/AN52,0)</f>
        <v>0</v>
      </c>
      <c r="AQ52" t="str">
        <f>IF(AI52=1,SUM($AI$5:AI52),"")</f>
        <v/>
      </c>
      <c r="AR52" t="str">
        <f>IF(AI52=1,IF(COUNTIFS($D$5:D52,D52,$AI$5:AI52,1)=1,SUMIFS($AJ$5:$AJ$504,$D$5:$D$504,D52),""),"")</f>
        <v/>
      </c>
      <c r="AS52" t="str">
        <f>IF(AG52=1,WEEKDAY(D52,2),"")</f>
        <v/>
      </c>
      <c r="AT52" s="31" t="str">
        <f>IF(AG52=1,DATE(YEAR(D52),MONTH(D52),1),"")</f>
        <v/>
      </c>
      <c r="AU52">
        <f>IF(AG52=0,0,IF(AND(OR('Prop challenge'!$D$7="",F52='Prop challenge'!$D$7),OR('Prop challenge'!$D$9="",D52&gt;='Prop challenge'!$D$9)),1,0))</f>
        <v>0</v>
      </c>
      <c r="AV52">
        <f>IF(AU52=1,IF(COUNTIFS($D$5:D52,D52,$AU$5:AU52,1)=1,1,0),0)</f>
        <v>0</v>
      </c>
      <c r="AW52" t="str">
        <f>IF(AV52=1,SUM($AV$5:AV52),"")</f>
        <v/>
      </c>
      <c r="AX52" t="str">
        <f>IF(AV52=1,SUMIFS($R$5:$R$504,$D$5:$D$504,D52,$AU$5:$AU$504,1),"")</f>
        <v/>
      </c>
    </row>
    <row r="53">
      <c r="A53" s="20" t="str">
        <f>IF(AG53=1,ROW()-4,"")</f>
        <v/>
      </c>
      <c r="B53" s="21" t="n"/>
      <c r="C53" s="22" t="n"/>
      <c r="D53" s="21" t="n"/>
      <c r="E53" s="22" t="n"/>
      <c r="F53" s="23" t="n"/>
      <c r="G53" s="23" t="n"/>
      <c r="H53" s="23" t="n"/>
      <c r="I53" s="24" t="n"/>
      <c r="J53" s="25" t="n"/>
      <c r="K53" s="25" t="n"/>
      <c r="L53" s="25" t="n"/>
      <c r="M53" s="25" t="n"/>
      <c r="N53" s="26" t="n"/>
      <c r="O53" s="26" t="n"/>
      <c r="P53" s="27" t="str">
        <f>IF(OR(J53="",K53="",I53="",AF53=0,AD53=""),"",(K53-J53)*AF53*I53*AD53*AE53)</f>
        <v/>
      </c>
      <c r="Q53" s="26" t="n"/>
      <c r="R53" s="28" t="str">
        <f>IF(Q53&lt;&gt;"",Q53,IF(P53="","",P53-N(N53)+N(O53)))</f>
        <v/>
      </c>
      <c r="S53" s="27" t="str">
        <f>IF(OR(L53="",J53="",I53="",AD53=""),"",ABS(J53-L53)*I53*AD53*AE53)</f>
        <v/>
      </c>
      <c r="T53" s="29" t="str">
        <f>IF(OR(R53="",S53="",S53=0),"",R53/S53)</f>
        <v/>
      </c>
      <c r="U53" s="20" t="str">
        <f>IF(R53="","",IF(R53&gt;0,"Ganadora",IF(R53&lt;0,"Perdedora","BE")))</f>
        <v/>
      </c>
      <c r="V53" s="23" t="n"/>
      <c r="W53" s="23" t="n"/>
      <c r="X53" s="23" t="n"/>
      <c r="Y53" s="23" t="n"/>
      <c r="Z53" s="23" t="n"/>
      <c r="AA53" s="23" t="n"/>
      <c r="AB53" s="30" t="n"/>
      <c r="AC53" s="1" t="n"/>
      <c r="AD53" s="1" t="str">
        <f>IF(G53="","",IFERROR(INDEX('Listas'!$N$6:$N$35,MATCH(G53,'Listas'!$M$6:$M$35,0)),""))</f>
        <v/>
      </c>
      <c r="AE53">
        <f>IF(G53="",1,IFERROR(INDEX('Listas'!$P$6:$P$35,MATCH(G53,'Listas'!$M$6:$M$35,0)),1))</f>
        <v>1</v>
      </c>
      <c r="AF53">
        <f>IF(H53="Compra",1,IF(H53="Venta",-1,0))</f>
        <v>0</v>
      </c>
      <c r="AG53">
        <f>IF(AND(D53&lt;&gt;"",ISNUMBER(R53)),1,0)</f>
        <v>0</v>
      </c>
      <c r="AH53">
        <f>IF(AG53=0,0,IF(OR('Panel'!$D$5="Todas las cuentas",'Panel'!$D$5="",F53='Panel'!$D$5),1,0))</f>
        <v>0</v>
      </c>
      <c r="AI53">
        <f>IF(AH53=0,0,IF(AND(OR('Panel'!$G$5="",D53&gt;='Panel'!$G$5),OR('Panel'!$J$5="",D53&lt;='Panel'!$J$5)),1,0))</f>
        <v>0</v>
      </c>
      <c r="AJ53">
        <f>IF(AI53=1,R53,0)</f>
        <v>0</v>
      </c>
      <c r="AK53" t="str">
        <f>IF(AI53=1,'Panel'!$AB$4+SUM($AJ$5:AJ53),"")</f>
        <v/>
      </c>
      <c r="AL53">
        <f>IF(AI53=0,N(AL52),IF(R53&lt;0,N(AL52)+1,0))</f>
        <v>1</v>
      </c>
      <c r="AM53">
        <f>IF(AI53=0,N(AM52),IF(R53&gt;0,N(AM52)+1,0))</f>
        <v>0</v>
      </c>
      <c r="AN53">
        <f>IF(AI53=1,MAX('Panel'!$AB$4,N(AN52),AK53),N(AN52))</f>
        <v>21371.061500000033</v>
      </c>
      <c r="AO53">
        <f>IF(AI53=1,AN53-AK53,0)</f>
        <v>0</v>
      </c>
      <c r="AP53">
        <f>IF(AND(AI53=1,AN53&gt;0),AO53/AN53,0)</f>
        <v>0</v>
      </c>
      <c r="AQ53" t="str">
        <f>IF(AI53=1,SUM($AI$5:AI53),"")</f>
        <v/>
      </c>
      <c r="AR53" t="str">
        <f>IF(AI53=1,IF(COUNTIFS($D$5:D53,D53,$AI$5:AI53,1)=1,SUMIFS($AJ$5:$AJ$504,$D$5:$D$504,D53),""),"")</f>
        <v/>
      </c>
      <c r="AS53" t="str">
        <f>IF(AG53=1,WEEKDAY(D53,2),"")</f>
        <v/>
      </c>
      <c r="AT53" s="31" t="str">
        <f>IF(AG53=1,DATE(YEAR(D53),MONTH(D53),1),"")</f>
        <v/>
      </c>
      <c r="AU53">
        <f>IF(AG53=0,0,IF(AND(OR('Prop challenge'!$D$7="",F53='Prop challenge'!$D$7),OR('Prop challenge'!$D$9="",D53&gt;='Prop challenge'!$D$9)),1,0))</f>
        <v>0</v>
      </c>
      <c r="AV53">
        <f>IF(AU53=1,IF(COUNTIFS($D$5:D53,D53,$AU$5:AU53,1)=1,1,0),0)</f>
        <v>0</v>
      </c>
      <c r="AW53" t="str">
        <f>IF(AV53=1,SUM($AV$5:AV53),"")</f>
        <v/>
      </c>
      <c r="AX53" t="str">
        <f>IF(AV53=1,SUMIFS($R$5:$R$504,$D$5:$D$504,D53,$AU$5:$AU$504,1),"")</f>
        <v/>
      </c>
    </row>
    <row r="54">
      <c r="A54" s="20" t="str">
        <f>IF(AG54=1,ROW()-4,"")</f>
        <v/>
      </c>
      <c r="B54" s="21" t="n"/>
      <c r="C54" s="22" t="n"/>
      <c r="D54" s="21" t="n"/>
      <c r="E54" s="22" t="n"/>
      <c r="F54" s="23" t="n"/>
      <c r="G54" s="23" t="n"/>
      <c r="H54" s="23" t="n"/>
      <c r="I54" s="24" t="n"/>
      <c r="J54" s="25" t="n"/>
      <c r="K54" s="25" t="n"/>
      <c r="L54" s="25" t="n"/>
      <c r="M54" s="25" t="n"/>
      <c r="N54" s="26" t="n"/>
      <c r="O54" s="26" t="n"/>
      <c r="P54" s="27" t="str">
        <f>IF(OR(J54="",K54="",I54="",AF54=0,AD54=""),"",(K54-J54)*AF54*I54*AD54*AE54)</f>
        <v/>
      </c>
      <c r="Q54" s="26" t="n"/>
      <c r="R54" s="28" t="str">
        <f>IF(Q54&lt;&gt;"",Q54,IF(P54="","",P54-N(N54)+N(O54)))</f>
        <v/>
      </c>
      <c r="S54" s="27" t="str">
        <f>IF(OR(L54="",J54="",I54="",AD54=""),"",ABS(J54-L54)*I54*AD54*AE54)</f>
        <v/>
      </c>
      <c r="T54" s="29" t="str">
        <f>IF(OR(R54="",S54="",S54=0),"",R54/S54)</f>
        <v/>
      </c>
      <c r="U54" s="20" t="str">
        <f>IF(R54="","",IF(R54&gt;0,"Ganadora",IF(R54&lt;0,"Perdedora","BE")))</f>
        <v/>
      </c>
      <c r="V54" s="23" t="n"/>
      <c r="W54" s="23" t="n"/>
      <c r="X54" s="23" t="n"/>
      <c r="Y54" s="23" t="n"/>
      <c r="Z54" s="23" t="n"/>
      <c r="AA54" s="23" t="n"/>
      <c r="AB54" s="30" t="n"/>
      <c r="AC54" s="1" t="n"/>
      <c r="AD54" s="1" t="str">
        <f>IF(G54="","",IFERROR(INDEX('Listas'!$N$6:$N$35,MATCH(G54,'Listas'!$M$6:$M$35,0)),""))</f>
        <v/>
      </c>
      <c r="AE54">
        <f>IF(G54="",1,IFERROR(INDEX('Listas'!$P$6:$P$35,MATCH(G54,'Listas'!$M$6:$M$35,0)),1))</f>
        <v>1</v>
      </c>
      <c r="AF54">
        <f>IF(H54="Compra",1,IF(H54="Venta",-1,0))</f>
        <v>0</v>
      </c>
      <c r="AG54">
        <f>IF(AND(D54&lt;&gt;"",ISNUMBER(R54)),1,0)</f>
        <v>0</v>
      </c>
      <c r="AH54">
        <f>IF(AG54=0,0,IF(OR('Panel'!$D$5="Todas las cuentas",'Panel'!$D$5="",F54='Panel'!$D$5),1,0))</f>
        <v>0</v>
      </c>
      <c r="AI54">
        <f>IF(AH54=0,0,IF(AND(OR('Panel'!$G$5="",D54&gt;='Panel'!$G$5),OR('Panel'!$J$5="",D54&lt;='Panel'!$J$5)),1,0))</f>
        <v>0</v>
      </c>
      <c r="AJ54">
        <f>IF(AI54=1,R54,0)</f>
        <v>0</v>
      </c>
      <c r="AK54" t="str">
        <f>IF(AI54=1,'Panel'!$AB$4+SUM($AJ$5:AJ54),"")</f>
        <v/>
      </c>
      <c r="AL54">
        <f>IF(AI54=0,N(AL53),IF(R54&lt;0,N(AL53)+1,0))</f>
        <v>1</v>
      </c>
      <c r="AM54">
        <f>IF(AI54=0,N(AM53),IF(R54&gt;0,N(AM53)+1,0))</f>
        <v>0</v>
      </c>
      <c r="AN54">
        <f>IF(AI54=1,MAX('Panel'!$AB$4,N(AN53),AK54),N(AN53))</f>
        <v>21371.061500000033</v>
      </c>
      <c r="AO54">
        <f>IF(AI54=1,AN54-AK54,0)</f>
        <v>0</v>
      </c>
      <c r="AP54">
        <f>IF(AND(AI54=1,AN54&gt;0),AO54/AN54,0)</f>
        <v>0</v>
      </c>
      <c r="AQ54" t="str">
        <f>IF(AI54=1,SUM($AI$5:AI54),"")</f>
        <v/>
      </c>
      <c r="AR54" t="str">
        <f>IF(AI54=1,IF(COUNTIFS($D$5:D54,D54,$AI$5:AI54,1)=1,SUMIFS($AJ$5:$AJ$504,$D$5:$D$504,D54),""),"")</f>
        <v/>
      </c>
      <c r="AS54" t="str">
        <f>IF(AG54=1,WEEKDAY(D54,2),"")</f>
        <v/>
      </c>
      <c r="AT54" s="31" t="str">
        <f>IF(AG54=1,DATE(YEAR(D54),MONTH(D54),1),"")</f>
        <v/>
      </c>
      <c r="AU54">
        <f>IF(AG54=0,0,IF(AND(OR('Prop challenge'!$D$7="",F54='Prop challenge'!$D$7),OR('Prop challenge'!$D$9="",D54&gt;='Prop challenge'!$D$9)),1,0))</f>
        <v>0</v>
      </c>
      <c r="AV54">
        <f>IF(AU54=1,IF(COUNTIFS($D$5:D54,D54,$AU$5:AU54,1)=1,1,0),0)</f>
        <v>0</v>
      </c>
      <c r="AW54" t="str">
        <f>IF(AV54=1,SUM($AV$5:AV54),"")</f>
        <v/>
      </c>
      <c r="AX54" t="str">
        <f>IF(AV54=1,SUMIFS($R$5:$R$504,$D$5:$D$504,D54,$AU$5:$AU$504,1),"")</f>
        <v/>
      </c>
    </row>
    <row r="55">
      <c r="A55" s="20" t="str">
        <f>IF(AG55=1,ROW()-4,"")</f>
        <v/>
      </c>
      <c r="B55" s="21" t="n"/>
      <c r="C55" s="22" t="n"/>
      <c r="D55" s="21" t="n"/>
      <c r="E55" s="22" t="n"/>
      <c r="F55" s="23" t="n"/>
      <c r="G55" s="23" t="n"/>
      <c r="H55" s="23" t="n"/>
      <c r="I55" s="24" t="n"/>
      <c r="J55" s="25" t="n"/>
      <c r="K55" s="25" t="n"/>
      <c r="L55" s="25" t="n"/>
      <c r="M55" s="25" t="n"/>
      <c r="N55" s="26" t="n"/>
      <c r="O55" s="26" t="n"/>
      <c r="P55" s="27" t="str">
        <f>IF(OR(J55="",K55="",I55="",AF55=0,AD55=""),"",(K55-J55)*AF55*I55*AD55*AE55)</f>
        <v/>
      </c>
      <c r="Q55" s="26" t="n"/>
      <c r="R55" s="28" t="str">
        <f>IF(Q55&lt;&gt;"",Q55,IF(P55="","",P55-N(N55)+N(O55)))</f>
        <v/>
      </c>
      <c r="S55" s="27" t="str">
        <f>IF(OR(L55="",J55="",I55="",AD55=""),"",ABS(J55-L55)*I55*AD55*AE55)</f>
        <v/>
      </c>
      <c r="T55" s="29" t="str">
        <f>IF(OR(R55="",S55="",S55=0),"",R55/S55)</f>
        <v/>
      </c>
      <c r="U55" s="20" t="str">
        <f>IF(R55="","",IF(R55&gt;0,"Ganadora",IF(R55&lt;0,"Perdedora","BE")))</f>
        <v/>
      </c>
      <c r="V55" s="23" t="n"/>
      <c r="W55" s="23" t="n"/>
      <c r="X55" s="23" t="n"/>
      <c r="Y55" s="23" t="n"/>
      <c r="Z55" s="23" t="n"/>
      <c r="AA55" s="23" t="n"/>
      <c r="AB55" s="30" t="n"/>
      <c r="AC55" s="1" t="n"/>
      <c r="AD55" s="1" t="str">
        <f>IF(G55="","",IFERROR(INDEX('Listas'!$N$6:$N$35,MATCH(G55,'Listas'!$M$6:$M$35,0)),""))</f>
        <v/>
      </c>
      <c r="AE55">
        <f>IF(G55="",1,IFERROR(INDEX('Listas'!$P$6:$P$35,MATCH(G55,'Listas'!$M$6:$M$35,0)),1))</f>
        <v>1</v>
      </c>
      <c r="AF55">
        <f>IF(H55="Compra",1,IF(H55="Venta",-1,0))</f>
        <v>0</v>
      </c>
      <c r="AG55">
        <f>IF(AND(D55&lt;&gt;"",ISNUMBER(R55)),1,0)</f>
        <v>0</v>
      </c>
      <c r="AH55">
        <f>IF(AG55=0,0,IF(OR('Panel'!$D$5="Todas las cuentas",'Panel'!$D$5="",F55='Panel'!$D$5),1,0))</f>
        <v>0</v>
      </c>
      <c r="AI55">
        <f>IF(AH55=0,0,IF(AND(OR('Panel'!$G$5="",D55&gt;='Panel'!$G$5),OR('Panel'!$J$5="",D55&lt;='Panel'!$J$5)),1,0))</f>
        <v>0</v>
      </c>
      <c r="AJ55">
        <f>IF(AI55=1,R55,0)</f>
        <v>0</v>
      </c>
      <c r="AK55" t="str">
        <f>IF(AI55=1,'Panel'!$AB$4+SUM($AJ$5:AJ55),"")</f>
        <v/>
      </c>
      <c r="AL55">
        <f>IF(AI55=0,N(AL54),IF(R55&lt;0,N(AL54)+1,0))</f>
        <v>1</v>
      </c>
      <c r="AM55">
        <f>IF(AI55=0,N(AM54),IF(R55&gt;0,N(AM54)+1,0))</f>
        <v>0</v>
      </c>
      <c r="AN55">
        <f>IF(AI55=1,MAX('Panel'!$AB$4,N(AN54),AK55),N(AN54))</f>
        <v>21371.061500000033</v>
      </c>
      <c r="AO55">
        <f>IF(AI55=1,AN55-AK55,0)</f>
        <v>0</v>
      </c>
      <c r="AP55">
        <f>IF(AND(AI55=1,AN55&gt;0),AO55/AN55,0)</f>
        <v>0</v>
      </c>
      <c r="AQ55" t="str">
        <f>IF(AI55=1,SUM($AI$5:AI55),"")</f>
        <v/>
      </c>
      <c r="AR55" t="str">
        <f>IF(AI55=1,IF(COUNTIFS($D$5:D55,D55,$AI$5:AI55,1)=1,SUMIFS($AJ$5:$AJ$504,$D$5:$D$504,D55),""),"")</f>
        <v/>
      </c>
      <c r="AS55" t="str">
        <f>IF(AG55=1,WEEKDAY(D55,2),"")</f>
        <v/>
      </c>
      <c r="AT55" s="31" t="str">
        <f>IF(AG55=1,DATE(YEAR(D55),MONTH(D55),1),"")</f>
        <v/>
      </c>
      <c r="AU55">
        <f>IF(AG55=0,0,IF(AND(OR('Prop challenge'!$D$7="",F55='Prop challenge'!$D$7),OR('Prop challenge'!$D$9="",D55&gt;='Prop challenge'!$D$9)),1,0))</f>
        <v>0</v>
      </c>
      <c r="AV55">
        <f>IF(AU55=1,IF(COUNTIFS($D$5:D55,D55,$AU$5:AU55,1)=1,1,0),0)</f>
        <v>0</v>
      </c>
      <c r="AW55" t="str">
        <f>IF(AV55=1,SUM($AV$5:AV55),"")</f>
        <v/>
      </c>
      <c r="AX55" t="str">
        <f>IF(AV55=1,SUMIFS($R$5:$R$504,$D$5:$D$504,D55,$AU$5:$AU$504,1),"")</f>
        <v/>
      </c>
    </row>
    <row r="56">
      <c r="A56" s="20" t="str">
        <f>IF(AG56=1,ROW()-4,"")</f>
        <v/>
      </c>
      <c r="B56" s="21" t="n"/>
      <c r="C56" s="22" t="n"/>
      <c r="D56" s="21" t="n"/>
      <c r="E56" s="22" t="n"/>
      <c r="F56" s="23" t="n"/>
      <c r="G56" s="23" t="n"/>
      <c r="H56" s="23" t="n"/>
      <c r="I56" s="24" t="n"/>
      <c r="J56" s="25" t="n"/>
      <c r="K56" s="25" t="n"/>
      <c r="L56" s="25" t="n"/>
      <c r="M56" s="25" t="n"/>
      <c r="N56" s="26" t="n"/>
      <c r="O56" s="26" t="n"/>
      <c r="P56" s="27" t="str">
        <f>IF(OR(J56="",K56="",I56="",AF56=0,AD56=""),"",(K56-J56)*AF56*I56*AD56*AE56)</f>
        <v/>
      </c>
      <c r="Q56" s="26" t="n"/>
      <c r="R56" s="28" t="str">
        <f>IF(Q56&lt;&gt;"",Q56,IF(P56="","",P56-N(N56)+N(O56)))</f>
        <v/>
      </c>
      <c r="S56" s="27" t="str">
        <f>IF(OR(L56="",J56="",I56="",AD56=""),"",ABS(J56-L56)*I56*AD56*AE56)</f>
        <v/>
      </c>
      <c r="T56" s="29" t="str">
        <f>IF(OR(R56="",S56="",S56=0),"",R56/S56)</f>
        <v/>
      </c>
      <c r="U56" s="20" t="str">
        <f>IF(R56="","",IF(R56&gt;0,"Ganadora",IF(R56&lt;0,"Perdedora","BE")))</f>
        <v/>
      </c>
      <c r="V56" s="23" t="n"/>
      <c r="W56" s="23" t="n"/>
      <c r="X56" s="23" t="n"/>
      <c r="Y56" s="23" t="n"/>
      <c r="Z56" s="23" t="n"/>
      <c r="AA56" s="23" t="n"/>
      <c r="AB56" s="30" t="n"/>
      <c r="AC56" s="1" t="n"/>
      <c r="AD56" s="1" t="str">
        <f>IF(G56="","",IFERROR(INDEX('Listas'!$N$6:$N$35,MATCH(G56,'Listas'!$M$6:$M$35,0)),""))</f>
        <v/>
      </c>
      <c r="AE56">
        <f>IF(G56="",1,IFERROR(INDEX('Listas'!$P$6:$P$35,MATCH(G56,'Listas'!$M$6:$M$35,0)),1))</f>
        <v>1</v>
      </c>
      <c r="AF56">
        <f>IF(H56="Compra",1,IF(H56="Venta",-1,0))</f>
        <v>0</v>
      </c>
      <c r="AG56">
        <f>IF(AND(D56&lt;&gt;"",ISNUMBER(R56)),1,0)</f>
        <v>0</v>
      </c>
      <c r="AH56">
        <f>IF(AG56=0,0,IF(OR('Panel'!$D$5="Todas las cuentas",'Panel'!$D$5="",F56='Panel'!$D$5),1,0))</f>
        <v>0</v>
      </c>
      <c r="AI56">
        <f>IF(AH56=0,0,IF(AND(OR('Panel'!$G$5="",D56&gt;='Panel'!$G$5),OR('Panel'!$J$5="",D56&lt;='Panel'!$J$5)),1,0))</f>
        <v>0</v>
      </c>
      <c r="AJ56">
        <f>IF(AI56=1,R56,0)</f>
        <v>0</v>
      </c>
      <c r="AK56" t="str">
        <f>IF(AI56=1,'Panel'!$AB$4+SUM($AJ$5:AJ56),"")</f>
        <v/>
      </c>
      <c r="AL56">
        <f>IF(AI56=0,N(AL55),IF(R56&lt;0,N(AL55)+1,0))</f>
        <v>1</v>
      </c>
      <c r="AM56">
        <f>IF(AI56=0,N(AM55),IF(R56&gt;0,N(AM55)+1,0))</f>
        <v>0</v>
      </c>
      <c r="AN56">
        <f>IF(AI56=1,MAX('Panel'!$AB$4,N(AN55),AK56),N(AN55))</f>
        <v>21371.061500000033</v>
      </c>
      <c r="AO56">
        <f>IF(AI56=1,AN56-AK56,0)</f>
        <v>0</v>
      </c>
      <c r="AP56">
        <f>IF(AND(AI56=1,AN56&gt;0),AO56/AN56,0)</f>
        <v>0</v>
      </c>
      <c r="AQ56" t="str">
        <f>IF(AI56=1,SUM($AI$5:AI56),"")</f>
        <v/>
      </c>
      <c r="AR56" t="str">
        <f>IF(AI56=1,IF(COUNTIFS($D$5:D56,D56,$AI$5:AI56,1)=1,SUMIFS($AJ$5:$AJ$504,$D$5:$D$504,D56),""),"")</f>
        <v/>
      </c>
      <c r="AS56" t="str">
        <f>IF(AG56=1,WEEKDAY(D56,2),"")</f>
        <v/>
      </c>
      <c r="AT56" s="31" t="str">
        <f>IF(AG56=1,DATE(YEAR(D56),MONTH(D56),1),"")</f>
        <v/>
      </c>
      <c r="AU56">
        <f>IF(AG56=0,0,IF(AND(OR('Prop challenge'!$D$7="",F56='Prop challenge'!$D$7),OR('Prop challenge'!$D$9="",D56&gt;='Prop challenge'!$D$9)),1,0))</f>
        <v>0</v>
      </c>
      <c r="AV56">
        <f>IF(AU56=1,IF(COUNTIFS($D$5:D56,D56,$AU$5:AU56,1)=1,1,0),0)</f>
        <v>0</v>
      </c>
      <c r="AW56" t="str">
        <f>IF(AV56=1,SUM($AV$5:AV56),"")</f>
        <v/>
      </c>
      <c r="AX56" t="str">
        <f>IF(AV56=1,SUMIFS($R$5:$R$504,$D$5:$D$504,D56,$AU$5:$AU$504,1),"")</f>
        <v/>
      </c>
    </row>
    <row r="57">
      <c r="A57" s="20" t="str">
        <f>IF(AG57=1,ROW()-4,"")</f>
        <v/>
      </c>
      <c r="B57" s="21" t="n"/>
      <c r="C57" s="22" t="n"/>
      <c r="D57" s="21" t="n"/>
      <c r="E57" s="22" t="n"/>
      <c r="F57" s="23" t="n"/>
      <c r="G57" s="23" t="n"/>
      <c r="H57" s="23" t="n"/>
      <c r="I57" s="24" t="n"/>
      <c r="J57" s="25" t="n"/>
      <c r="K57" s="25" t="n"/>
      <c r="L57" s="25" t="n"/>
      <c r="M57" s="25" t="n"/>
      <c r="N57" s="26" t="n"/>
      <c r="O57" s="26" t="n"/>
      <c r="P57" s="27" t="str">
        <f>IF(OR(J57="",K57="",I57="",AF57=0,AD57=""),"",(K57-J57)*AF57*I57*AD57*AE57)</f>
        <v/>
      </c>
      <c r="Q57" s="26" t="n"/>
      <c r="R57" s="28" t="str">
        <f>IF(Q57&lt;&gt;"",Q57,IF(P57="","",P57-N(N57)+N(O57)))</f>
        <v/>
      </c>
      <c r="S57" s="27" t="str">
        <f>IF(OR(L57="",J57="",I57="",AD57=""),"",ABS(J57-L57)*I57*AD57*AE57)</f>
        <v/>
      </c>
      <c r="T57" s="29" t="str">
        <f>IF(OR(R57="",S57="",S57=0),"",R57/S57)</f>
        <v/>
      </c>
      <c r="U57" s="20" t="str">
        <f>IF(R57="","",IF(R57&gt;0,"Ganadora",IF(R57&lt;0,"Perdedora","BE")))</f>
        <v/>
      </c>
      <c r="V57" s="23" t="n"/>
      <c r="W57" s="23" t="n"/>
      <c r="X57" s="23" t="n"/>
      <c r="Y57" s="23" t="n"/>
      <c r="Z57" s="23" t="n"/>
      <c r="AA57" s="23" t="n"/>
      <c r="AB57" s="30" t="n"/>
      <c r="AC57" s="1" t="n"/>
      <c r="AD57" s="1" t="str">
        <f>IF(G57="","",IFERROR(INDEX('Listas'!$N$6:$N$35,MATCH(G57,'Listas'!$M$6:$M$35,0)),""))</f>
        <v/>
      </c>
      <c r="AE57">
        <f>IF(G57="",1,IFERROR(INDEX('Listas'!$P$6:$P$35,MATCH(G57,'Listas'!$M$6:$M$35,0)),1))</f>
        <v>1</v>
      </c>
      <c r="AF57">
        <f>IF(H57="Compra",1,IF(H57="Venta",-1,0))</f>
        <v>0</v>
      </c>
      <c r="AG57">
        <f>IF(AND(D57&lt;&gt;"",ISNUMBER(R57)),1,0)</f>
        <v>0</v>
      </c>
      <c r="AH57">
        <f>IF(AG57=0,0,IF(OR('Panel'!$D$5="Todas las cuentas",'Panel'!$D$5="",F57='Panel'!$D$5),1,0))</f>
        <v>0</v>
      </c>
      <c r="AI57">
        <f>IF(AH57=0,0,IF(AND(OR('Panel'!$G$5="",D57&gt;='Panel'!$G$5),OR('Panel'!$J$5="",D57&lt;='Panel'!$J$5)),1,0))</f>
        <v>0</v>
      </c>
      <c r="AJ57">
        <f>IF(AI57=1,R57,0)</f>
        <v>0</v>
      </c>
      <c r="AK57" t="str">
        <f>IF(AI57=1,'Panel'!$AB$4+SUM($AJ$5:AJ57),"")</f>
        <v/>
      </c>
      <c r="AL57">
        <f>IF(AI57=0,N(AL56),IF(R57&lt;0,N(AL56)+1,0))</f>
        <v>1</v>
      </c>
      <c r="AM57">
        <f>IF(AI57=0,N(AM56),IF(R57&gt;0,N(AM56)+1,0))</f>
        <v>0</v>
      </c>
      <c r="AN57">
        <f>IF(AI57=1,MAX('Panel'!$AB$4,N(AN56),AK57),N(AN56))</f>
        <v>21371.061500000033</v>
      </c>
      <c r="AO57">
        <f>IF(AI57=1,AN57-AK57,0)</f>
        <v>0</v>
      </c>
      <c r="AP57">
        <f>IF(AND(AI57=1,AN57&gt;0),AO57/AN57,0)</f>
        <v>0</v>
      </c>
      <c r="AQ57" t="str">
        <f>IF(AI57=1,SUM($AI$5:AI57),"")</f>
        <v/>
      </c>
      <c r="AR57" t="str">
        <f>IF(AI57=1,IF(COUNTIFS($D$5:D57,D57,$AI$5:AI57,1)=1,SUMIFS($AJ$5:$AJ$504,$D$5:$D$504,D57),""),"")</f>
        <v/>
      </c>
      <c r="AS57" t="str">
        <f>IF(AG57=1,WEEKDAY(D57,2),"")</f>
        <v/>
      </c>
      <c r="AT57" s="31" t="str">
        <f>IF(AG57=1,DATE(YEAR(D57),MONTH(D57),1),"")</f>
        <v/>
      </c>
      <c r="AU57">
        <f>IF(AG57=0,0,IF(AND(OR('Prop challenge'!$D$7="",F57='Prop challenge'!$D$7),OR('Prop challenge'!$D$9="",D57&gt;='Prop challenge'!$D$9)),1,0))</f>
        <v>0</v>
      </c>
      <c r="AV57">
        <f>IF(AU57=1,IF(COUNTIFS($D$5:D57,D57,$AU$5:AU57,1)=1,1,0),0)</f>
        <v>0</v>
      </c>
      <c r="AW57" t="str">
        <f>IF(AV57=1,SUM($AV$5:AV57),"")</f>
        <v/>
      </c>
      <c r="AX57" t="str">
        <f>IF(AV57=1,SUMIFS($R$5:$R$504,$D$5:$D$504,D57,$AU$5:$AU$504,1),"")</f>
        <v/>
      </c>
    </row>
    <row r="58">
      <c r="A58" s="20" t="str">
        <f>IF(AG58=1,ROW()-4,"")</f>
        <v/>
      </c>
      <c r="B58" s="21" t="n"/>
      <c r="C58" s="22" t="n"/>
      <c r="D58" s="21" t="n"/>
      <c r="E58" s="22" t="n"/>
      <c r="F58" s="23" t="n"/>
      <c r="G58" s="23" t="n"/>
      <c r="H58" s="23" t="n"/>
      <c r="I58" s="24" t="n"/>
      <c r="J58" s="25" t="n"/>
      <c r="K58" s="25" t="n"/>
      <c r="L58" s="25" t="n"/>
      <c r="M58" s="25" t="n"/>
      <c r="N58" s="26" t="n"/>
      <c r="O58" s="26" t="n"/>
      <c r="P58" s="27" t="str">
        <f>IF(OR(J58="",K58="",I58="",AF58=0,AD58=""),"",(K58-J58)*AF58*I58*AD58*AE58)</f>
        <v/>
      </c>
      <c r="Q58" s="26" t="n"/>
      <c r="R58" s="28" t="str">
        <f>IF(Q58&lt;&gt;"",Q58,IF(P58="","",P58-N(N58)+N(O58)))</f>
        <v/>
      </c>
      <c r="S58" s="27" t="str">
        <f>IF(OR(L58="",J58="",I58="",AD58=""),"",ABS(J58-L58)*I58*AD58*AE58)</f>
        <v/>
      </c>
      <c r="T58" s="29" t="str">
        <f>IF(OR(R58="",S58="",S58=0),"",R58/S58)</f>
        <v/>
      </c>
      <c r="U58" s="20" t="str">
        <f>IF(R58="","",IF(R58&gt;0,"Ganadora",IF(R58&lt;0,"Perdedora","BE")))</f>
        <v/>
      </c>
      <c r="V58" s="23" t="n"/>
      <c r="W58" s="23" t="n"/>
      <c r="X58" s="23" t="n"/>
      <c r="Y58" s="23" t="n"/>
      <c r="Z58" s="23" t="n"/>
      <c r="AA58" s="23" t="n"/>
      <c r="AB58" s="30" t="n"/>
      <c r="AC58" s="1" t="n"/>
      <c r="AD58" s="1" t="str">
        <f>IF(G58="","",IFERROR(INDEX('Listas'!$N$6:$N$35,MATCH(G58,'Listas'!$M$6:$M$35,0)),""))</f>
        <v/>
      </c>
      <c r="AE58">
        <f>IF(G58="",1,IFERROR(INDEX('Listas'!$P$6:$P$35,MATCH(G58,'Listas'!$M$6:$M$35,0)),1))</f>
        <v>1</v>
      </c>
      <c r="AF58">
        <f>IF(H58="Compra",1,IF(H58="Venta",-1,0))</f>
        <v>0</v>
      </c>
      <c r="AG58">
        <f>IF(AND(D58&lt;&gt;"",ISNUMBER(R58)),1,0)</f>
        <v>0</v>
      </c>
      <c r="AH58">
        <f>IF(AG58=0,0,IF(OR('Panel'!$D$5="Todas las cuentas",'Panel'!$D$5="",F58='Panel'!$D$5),1,0))</f>
        <v>0</v>
      </c>
      <c r="AI58">
        <f>IF(AH58=0,0,IF(AND(OR('Panel'!$G$5="",D58&gt;='Panel'!$G$5),OR('Panel'!$J$5="",D58&lt;='Panel'!$J$5)),1,0))</f>
        <v>0</v>
      </c>
      <c r="AJ58">
        <f>IF(AI58=1,R58,0)</f>
        <v>0</v>
      </c>
      <c r="AK58" t="str">
        <f>IF(AI58=1,'Panel'!$AB$4+SUM($AJ$5:AJ58),"")</f>
        <v/>
      </c>
      <c r="AL58">
        <f>IF(AI58=0,N(AL57),IF(R58&lt;0,N(AL57)+1,0))</f>
        <v>1</v>
      </c>
      <c r="AM58">
        <f>IF(AI58=0,N(AM57),IF(R58&gt;0,N(AM57)+1,0))</f>
        <v>0</v>
      </c>
      <c r="AN58">
        <f>IF(AI58=1,MAX('Panel'!$AB$4,N(AN57),AK58),N(AN57))</f>
        <v>21371.061500000033</v>
      </c>
      <c r="AO58">
        <f>IF(AI58=1,AN58-AK58,0)</f>
        <v>0</v>
      </c>
      <c r="AP58">
        <f>IF(AND(AI58=1,AN58&gt;0),AO58/AN58,0)</f>
        <v>0</v>
      </c>
      <c r="AQ58" t="str">
        <f>IF(AI58=1,SUM($AI$5:AI58),"")</f>
        <v/>
      </c>
      <c r="AR58" t="str">
        <f>IF(AI58=1,IF(COUNTIFS($D$5:D58,D58,$AI$5:AI58,1)=1,SUMIFS($AJ$5:$AJ$504,$D$5:$D$504,D58),""),"")</f>
        <v/>
      </c>
      <c r="AS58" t="str">
        <f>IF(AG58=1,WEEKDAY(D58,2),"")</f>
        <v/>
      </c>
      <c r="AT58" s="31" t="str">
        <f>IF(AG58=1,DATE(YEAR(D58),MONTH(D58),1),"")</f>
        <v/>
      </c>
      <c r="AU58">
        <f>IF(AG58=0,0,IF(AND(OR('Prop challenge'!$D$7="",F58='Prop challenge'!$D$7),OR('Prop challenge'!$D$9="",D58&gt;='Prop challenge'!$D$9)),1,0))</f>
        <v>0</v>
      </c>
      <c r="AV58">
        <f>IF(AU58=1,IF(COUNTIFS($D$5:D58,D58,$AU$5:AU58,1)=1,1,0),0)</f>
        <v>0</v>
      </c>
      <c r="AW58" t="str">
        <f>IF(AV58=1,SUM($AV$5:AV58),"")</f>
        <v/>
      </c>
      <c r="AX58" t="str">
        <f>IF(AV58=1,SUMIFS($R$5:$R$504,$D$5:$D$504,D58,$AU$5:$AU$504,1),"")</f>
        <v/>
      </c>
    </row>
    <row r="59">
      <c r="A59" s="20" t="str">
        <f>IF(AG59=1,ROW()-4,"")</f>
        <v/>
      </c>
      <c r="B59" s="21" t="n"/>
      <c r="C59" s="22" t="n"/>
      <c r="D59" s="21" t="n"/>
      <c r="E59" s="22" t="n"/>
      <c r="F59" s="23" t="n"/>
      <c r="G59" s="23" t="n"/>
      <c r="H59" s="23" t="n"/>
      <c r="I59" s="24" t="n"/>
      <c r="J59" s="25" t="n"/>
      <c r="K59" s="25" t="n"/>
      <c r="L59" s="25" t="n"/>
      <c r="M59" s="25" t="n"/>
      <c r="N59" s="26" t="n"/>
      <c r="O59" s="26" t="n"/>
      <c r="P59" s="27" t="str">
        <f>IF(OR(J59="",K59="",I59="",AF59=0,AD59=""),"",(K59-J59)*AF59*I59*AD59*AE59)</f>
        <v/>
      </c>
      <c r="Q59" s="26" t="n"/>
      <c r="R59" s="28" t="str">
        <f>IF(Q59&lt;&gt;"",Q59,IF(P59="","",P59-N(N59)+N(O59)))</f>
        <v/>
      </c>
      <c r="S59" s="27" t="str">
        <f>IF(OR(L59="",J59="",I59="",AD59=""),"",ABS(J59-L59)*I59*AD59*AE59)</f>
        <v/>
      </c>
      <c r="T59" s="29" t="str">
        <f>IF(OR(R59="",S59="",S59=0),"",R59/S59)</f>
        <v/>
      </c>
      <c r="U59" s="20" t="str">
        <f>IF(R59="","",IF(R59&gt;0,"Ganadora",IF(R59&lt;0,"Perdedora","BE")))</f>
        <v/>
      </c>
      <c r="V59" s="23" t="n"/>
      <c r="W59" s="23" t="n"/>
      <c r="X59" s="23" t="n"/>
      <c r="Y59" s="23" t="n"/>
      <c r="Z59" s="23" t="n"/>
      <c r="AA59" s="23" t="n"/>
      <c r="AB59" s="30" t="n"/>
      <c r="AC59" s="1" t="n"/>
      <c r="AD59" s="1" t="str">
        <f>IF(G59="","",IFERROR(INDEX('Listas'!$N$6:$N$35,MATCH(G59,'Listas'!$M$6:$M$35,0)),""))</f>
        <v/>
      </c>
      <c r="AE59">
        <f>IF(G59="",1,IFERROR(INDEX('Listas'!$P$6:$P$35,MATCH(G59,'Listas'!$M$6:$M$35,0)),1))</f>
        <v>1</v>
      </c>
      <c r="AF59">
        <f>IF(H59="Compra",1,IF(H59="Venta",-1,0))</f>
        <v>0</v>
      </c>
      <c r="AG59">
        <f>IF(AND(D59&lt;&gt;"",ISNUMBER(R59)),1,0)</f>
        <v>0</v>
      </c>
      <c r="AH59">
        <f>IF(AG59=0,0,IF(OR('Panel'!$D$5="Todas las cuentas",'Panel'!$D$5="",F59='Panel'!$D$5),1,0))</f>
        <v>0</v>
      </c>
      <c r="AI59">
        <f>IF(AH59=0,0,IF(AND(OR('Panel'!$G$5="",D59&gt;='Panel'!$G$5),OR('Panel'!$J$5="",D59&lt;='Panel'!$J$5)),1,0))</f>
        <v>0</v>
      </c>
      <c r="AJ59">
        <f>IF(AI59=1,R59,0)</f>
        <v>0</v>
      </c>
      <c r="AK59" t="str">
        <f>IF(AI59=1,'Panel'!$AB$4+SUM($AJ$5:AJ59),"")</f>
        <v/>
      </c>
      <c r="AL59">
        <f>IF(AI59=0,N(AL58),IF(R59&lt;0,N(AL58)+1,0))</f>
        <v>1</v>
      </c>
      <c r="AM59">
        <f>IF(AI59=0,N(AM58),IF(R59&gt;0,N(AM58)+1,0))</f>
        <v>0</v>
      </c>
      <c r="AN59">
        <f>IF(AI59=1,MAX('Panel'!$AB$4,N(AN58),AK59),N(AN58))</f>
        <v>21371.061500000033</v>
      </c>
      <c r="AO59">
        <f>IF(AI59=1,AN59-AK59,0)</f>
        <v>0</v>
      </c>
      <c r="AP59">
        <f>IF(AND(AI59=1,AN59&gt;0),AO59/AN59,0)</f>
        <v>0</v>
      </c>
      <c r="AQ59" t="str">
        <f>IF(AI59=1,SUM($AI$5:AI59),"")</f>
        <v/>
      </c>
      <c r="AR59" t="str">
        <f>IF(AI59=1,IF(COUNTIFS($D$5:D59,D59,$AI$5:AI59,1)=1,SUMIFS($AJ$5:$AJ$504,$D$5:$D$504,D59),""),"")</f>
        <v/>
      </c>
      <c r="AS59" t="str">
        <f>IF(AG59=1,WEEKDAY(D59,2),"")</f>
        <v/>
      </c>
      <c r="AT59" s="31" t="str">
        <f>IF(AG59=1,DATE(YEAR(D59),MONTH(D59),1),"")</f>
        <v/>
      </c>
      <c r="AU59">
        <f>IF(AG59=0,0,IF(AND(OR('Prop challenge'!$D$7="",F59='Prop challenge'!$D$7),OR('Prop challenge'!$D$9="",D59&gt;='Prop challenge'!$D$9)),1,0))</f>
        <v>0</v>
      </c>
      <c r="AV59">
        <f>IF(AU59=1,IF(COUNTIFS($D$5:D59,D59,$AU$5:AU59,1)=1,1,0),0)</f>
        <v>0</v>
      </c>
      <c r="AW59" t="str">
        <f>IF(AV59=1,SUM($AV$5:AV59),"")</f>
        <v/>
      </c>
      <c r="AX59" t="str">
        <f>IF(AV59=1,SUMIFS($R$5:$R$504,$D$5:$D$504,D59,$AU$5:$AU$504,1),"")</f>
        <v/>
      </c>
    </row>
    <row r="60">
      <c r="A60" s="20" t="str">
        <f>IF(AG60=1,ROW()-4,"")</f>
        <v/>
      </c>
      <c r="B60" s="21" t="n"/>
      <c r="C60" s="22" t="n"/>
      <c r="D60" s="21" t="n"/>
      <c r="E60" s="22" t="n"/>
      <c r="F60" s="23" t="n"/>
      <c r="G60" s="23" t="n"/>
      <c r="H60" s="23" t="n"/>
      <c r="I60" s="24" t="n"/>
      <c r="J60" s="25" t="n"/>
      <c r="K60" s="25" t="n"/>
      <c r="L60" s="25" t="n"/>
      <c r="M60" s="25" t="n"/>
      <c r="N60" s="26" t="n"/>
      <c r="O60" s="26" t="n"/>
      <c r="P60" s="27" t="str">
        <f>IF(OR(J60="",K60="",I60="",AF60=0,AD60=""),"",(K60-J60)*AF60*I60*AD60*AE60)</f>
        <v/>
      </c>
      <c r="Q60" s="26" t="n"/>
      <c r="R60" s="28" t="str">
        <f>IF(Q60&lt;&gt;"",Q60,IF(P60="","",P60-N(N60)+N(O60)))</f>
        <v/>
      </c>
      <c r="S60" s="27" t="str">
        <f>IF(OR(L60="",J60="",I60="",AD60=""),"",ABS(J60-L60)*I60*AD60*AE60)</f>
        <v/>
      </c>
      <c r="T60" s="29" t="str">
        <f>IF(OR(R60="",S60="",S60=0),"",R60/S60)</f>
        <v/>
      </c>
      <c r="U60" s="20" t="str">
        <f>IF(R60="","",IF(R60&gt;0,"Ganadora",IF(R60&lt;0,"Perdedora","BE")))</f>
        <v/>
      </c>
      <c r="V60" s="23" t="n"/>
      <c r="W60" s="23" t="n"/>
      <c r="X60" s="23" t="n"/>
      <c r="Y60" s="23" t="n"/>
      <c r="Z60" s="23" t="n"/>
      <c r="AA60" s="23" t="n"/>
      <c r="AB60" s="30" t="n"/>
      <c r="AC60" s="1" t="n"/>
      <c r="AD60" s="1" t="str">
        <f>IF(G60="","",IFERROR(INDEX('Listas'!$N$6:$N$35,MATCH(G60,'Listas'!$M$6:$M$35,0)),""))</f>
        <v/>
      </c>
      <c r="AE60">
        <f>IF(G60="",1,IFERROR(INDEX('Listas'!$P$6:$P$35,MATCH(G60,'Listas'!$M$6:$M$35,0)),1))</f>
        <v>1</v>
      </c>
      <c r="AF60">
        <f>IF(H60="Compra",1,IF(H60="Venta",-1,0))</f>
        <v>0</v>
      </c>
      <c r="AG60">
        <f>IF(AND(D60&lt;&gt;"",ISNUMBER(R60)),1,0)</f>
        <v>0</v>
      </c>
      <c r="AH60">
        <f>IF(AG60=0,0,IF(OR('Panel'!$D$5="Todas las cuentas",'Panel'!$D$5="",F60='Panel'!$D$5),1,0))</f>
        <v>0</v>
      </c>
      <c r="AI60">
        <f>IF(AH60=0,0,IF(AND(OR('Panel'!$G$5="",D60&gt;='Panel'!$G$5),OR('Panel'!$J$5="",D60&lt;='Panel'!$J$5)),1,0))</f>
        <v>0</v>
      </c>
      <c r="AJ60">
        <f>IF(AI60=1,R60,0)</f>
        <v>0</v>
      </c>
      <c r="AK60" t="str">
        <f>IF(AI60=1,'Panel'!$AB$4+SUM($AJ$5:AJ60),"")</f>
        <v/>
      </c>
      <c r="AL60">
        <f>IF(AI60=0,N(AL59),IF(R60&lt;0,N(AL59)+1,0))</f>
        <v>1</v>
      </c>
      <c r="AM60">
        <f>IF(AI60=0,N(AM59),IF(R60&gt;0,N(AM59)+1,0))</f>
        <v>0</v>
      </c>
      <c r="AN60">
        <f>IF(AI60=1,MAX('Panel'!$AB$4,N(AN59),AK60),N(AN59))</f>
        <v>21371.061500000033</v>
      </c>
      <c r="AO60">
        <f>IF(AI60=1,AN60-AK60,0)</f>
        <v>0</v>
      </c>
      <c r="AP60">
        <f>IF(AND(AI60=1,AN60&gt;0),AO60/AN60,0)</f>
        <v>0</v>
      </c>
      <c r="AQ60" t="str">
        <f>IF(AI60=1,SUM($AI$5:AI60),"")</f>
        <v/>
      </c>
      <c r="AR60" t="str">
        <f>IF(AI60=1,IF(COUNTIFS($D$5:D60,D60,$AI$5:AI60,1)=1,SUMIFS($AJ$5:$AJ$504,$D$5:$D$504,D60),""),"")</f>
        <v/>
      </c>
      <c r="AS60" t="str">
        <f>IF(AG60=1,WEEKDAY(D60,2),"")</f>
        <v/>
      </c>
      <c r="AT60" s="31" t="str">
        <f>IF(AG60=1,DATE(YEAR(D60),MONTH(D60),1),"")</f>
        <v/>
      </c>
      <c r="AU60">
        <f>IF(AG60=0,0,IF(AND(OR('Prop challenge'!$D$7="",F60='Prop challenge'!$D$7),OR('Prop challenge'!$D$9="",D60&gt;='Prop challenge'!$D$9)),1,0))</f>
        <v>0</v>
      </c>
      <c r="AV60">
        <f>IF(AU60=1,IF(COUNTIFS($D$5:D60,D60,$AU$5:AU60,1)=1,1,0),0)</f>
        <v>0</v>
      </c>
      <c r="AW60" t="str">
        <f>IF(AV60=1,SUM($AV$5:AV60),"")</f>
        <v/>
      </c>
      <c r="AX60" t="str">
        <f>IF(AV60=1,SUMIFS($R$5:$R$504,$D$5:$D$504,D60,$AU$5:$AU$504,1),"")</f>
        <v/>
      </c>
    </row>
    <row r="61">
      <c r="A61" s="20" t="str">
        <f>IF(AG61=1,ROW()-4,"")</f>
        <v/>
      </c>
      <c r="B61" s="21" t="n"/>
      <c r="C61" s="22" t="n"/>
      <c r="D61" s="21" t="n"/>
      <c r="E61" s="22" t="n"/>
      <c r="F61" s="23" t="n"/>
      <c r="G61" s="23" t="n"/>
      <c r="H61" s="23" t="n"/>
      <c r="I61" s="24" t="n"/>
      <c r="J61" s="25" t="n"/>
      <c r="K61" s="25" t="n"/>
      <c r="L61" s="25" t="n"/>
      <c r="M61" s="25" t="n"/>
      <c r="N61" s="26" t="n"/>
      <c r="O61" s="26" t="n"/>
      <c r="P61" s="27" t="str">
        <f>IF(OR(J61="",K61="",I61="",AF61=0,AD61=""),"",(K61-J61)*AF61*I61*AD61*AE61)</f>
        <v/>
      </c>
      <c r="Q61" s="26" t="n"/>
      <c r="R61" s="28" t="str">
        <f>IF(Q61&lt;&gt;"",Q61,IF(P61="","",P61-N(N61)+N(O61)))</f>
        <v/>
      </c>
      <c r="S61" s="27" t="str">
        <f>IF(OR(L61="",J61="",I61="",AD61=""),"",ABS(J61-L61)*I61*AD61*AE61)</f>
        <v/>
      </c>
      <c r="T61" s="29" t="str">
        <f>IF(OR(R61="",S61="",S61=0),"",R61/S61)</f>
        <v/>
      </c>
      <c r="U61" s="20" t="str">
        <f>IF(R61="","",IF(R61&gt;0,"Ganadora",IF(R61&lt;0,"Perdedora","BE")))</f>
        <v/>
      </c>
      <c r="V61" s="23" t="n"/>
      <c r="W61" s="23" t="n"/>
      <c r="X61" s="23" t="n"/>
      <c r="Y61" s="23" t="n"/>
      <c r="Z61" s="23" t="n"/>
      <c r="AA61" s="23" t="n"/>
      <c r="AB61" s="30" t="n"/>
      <c r="AC61" s="1" t="n"/>
      <c r="AD61" s="1" t="str">
        <f>IF(G61="","",IFERROR(INDEX('Listas'!$N$6:$N$35,MATCH(G61,'Listas'!$M$6:$M$35,0)),""))</f>
        <v/>
      </c>
      <c r="AE61">
        <f>IF(G61="",1,IFERROR(INDEX('Listas'!$P$6:$P$35,MATCH(G61,'Listas'!$M$6:$M$35,0)),1))</f>
        <v>1</v>
      </c>
      <c r="AF61">
        <f>IF(H61="Compra",1,IF(H61="Venta",-1,0))</f>
        <v>0</v>
      </c>
      <c r="AG61">
        <f>IF(AND(D61&lt;&gt;"",ISNUMBER(R61)),1,0)</f>
        <v>0</v>
      </c>
      <c r="AH61">
        <f>IF(AG61=0,0,IF(OR('Panel'!$D$5="Todas las cuentas",'Panel'!$D$5="",F61='Panel'!$D$5),1,0))</f>
        <v>0</v>
      </c>
      <c r="AI61">
        <f>IF(AH61=0,0,IF(AND(OR('Panel'!$G$5="",D61&gt;='Panel'!$G$5),OR('Panel'!$J$5="",D61&lt;='Panel'!$J$5)),1,0))</f>
        <v>0</v>
      </c>
      <c r="AJ61">
        <f>IF(AI61=1,R61,0)</f>
        <v>0</v>
      </c>
      <c r="AK61" t="str">
        <f>IF(AI61=1,'Panel'!$AB$4+SUM($AJ$5:AJ61),"")</f>
        <v/>
      </c>
      <c r="AL61">
        <f>IF(AI61=0,N(AL60),IF(R61&lt;0,N(AL60)+1,0))</f>
        <v>1</v>
      </c>
      <c r="AM61">
        <f>IF(AI61=0,N(AM60),IF(R61&gt;0,N(AM60)+1,0))</f>
        <v>0</v>
      </c>
      <c r="AN61">
        <f>IF(AI61=1,MAX('Panel'!$AB$4,N(AN60),AK61),N(AN60))</f>
        <v>21371.061500000033</v>
      </c>
      <c r="AO61">
        <f>IF(AI61=1,AN61-AK61,0)</f>
        <v>0</v>
      </c>
      <c r="AP61">
        <f>IF(AND(AI61=1,AN61&gt;0),AO61/AN61,0)</f>
        <v>0</v>
      </c>
      <c r="AQ61" t="str">
        <f>IF(AI61=1,SUM($AI$5:AI61),"")</f>
        <v/>
      </c>
      <c r="AR61" t="str">
        <f>IF(AI61=1,IF(COUNTIFS($D$5:D61,D61,$AI$5:AI61,1)=1,SUMIFS($AJ$5:$AJ$504,$D$5:$D$504,D61),""),"")</f>
        <v/>
      </c>
      <c r="AS61" t="str">
        <f>IF(AG61=1,WEEKDAY(D61,2),"")</f>
        <v/>
      </c>
      <c r="AT61" s="31" t="str">
        <f>IF(AG61=1,DATE(YEAR(D61),MONTH(D61),1),"")</f>
        <v/>
      </c>
      <c r="AU61">
        <f>IF(AG61=0,0,IF(AND(OR('Prop challenge'!$D$7="",F61='Prop challenge'!$D$7),OR('Prop challenge'!$D$9="",D61&gt;='Prop challenge'!$D$9)),1,0))</f>
        <v>0</v>
      </c>
      <c r="AV61">
        <f>IF(AU61=1,IF(COUNTIFS($D$5:D61,D61,$AU$5:AU61,1)=1,1,0),0)</f>
        <v>0</v>
      </c>
      <c r="AW61" t="str">
        <f>IF(AV61=1,SUM($AV$5:AV61),"")</f>
        <v/>
      </c>
      <c r="AX61" t="str">
        <f>IF(AV61=1,SUMIFS($R$5:$R$504,$D$5:$D$504,D61,$AU$5:$AU$504,1),"")</f>
        <v/>
      </c>
    </row>
    <row r="62">
      <c r="A62" s="20" t="str">
        <f>IF(AG62=1,ROW()-4,"")</f>
        <v/>
      </c>
      <c r="B62" s="21" t="n"/>
      <c r="C62" s="22" t="n"/>
      <c r="D62" s="21" t="n"/>
      <c r="E62" s="22" t="n"/>
      <c r="F62" s="23" t="n"/>
      <c r="G62" s="23" t="n"/>
      <c r="H62" s="23" t="n"/>
      <c r="I62" s="24" t="n"/>
      <c r="J62" s="25" t="n"/>
      <c r="K62" s="25" t="n"/>
      <c r="L62" s="25" t="n"/>
      <c r="M62" s="25" t="n"/>
      <c r="N62" s="26" t="n"/>
      <c r="O62" s="26" t="n"/>
      <c r="P62" s="27" t="str">
        <f>IF(OR(J62="",K62="",I62="",AF62=0,AD62=""),"",(K62-J62)*AF62*I62*AD62*AE62)</f>
        <v/>
      </c>
      <c r="Q62" s="26" t="n"/>
      <c r="R62" s="28" t="str">
        <f>IF(Q62&lt;&gt;"",Q62,IF(P62="","",P62-N(N62)+N(O62)))</f>
        <v/>
      </c>
      <c r="S62" s="27" t="str">
        <f>IF(OR(L62="",J62="",I62="",AD62=""),"",ABS(J62-L62)*I62*AD62*AE62)</f>
        <v/>
      </c>
      <c r="T62" s="29" t="str">
        <f>IF(OR(R62="",S62="",S62=0),"",R62/S62)</f>
        <v/>
      </c>
      <c r="U62" s="20" t="str">
        <f>IF(R62="","",IF(R62&gt;0,"Ganadora",IF(R62&lt;0,"Perdedora","BE")))</f>
        <v/>
      </c>
      <c r="V62" s="23" t="n"/>
      <c r="W62" s="23" t="n"/>
      <c r="X62" s="23" t="n"/>
      <c r="Y62" s="23" t="n"/>
      <c r="Z62" s="23" t="n"/>
      <c r="AA62" s="23" t="n"/>
      <c r="AB62" s="30" t="n"/>
      <c r="AC62" s="1" t="n"/>
      <c r="AD62" s="1" t="str">
        <f>IF(G62="","",IFERROR(INDEX('Listas'!$N$6:$N$35,MATCH(G62,'Listas'!$M$6:$M$35,0)),""))</f>
        <v/>
      </c>
      <c r="AE62">
        <f>IF(G62="",1,IFERROR(INDEX('Listas'!$P$6:$P$35,MATCH(G62,'Listas'!$M$6:$M$35,0)),1))</f>
        <v>1</v>
      </c>
      <c r="AF62">
        <f>IF(H62="Compra",1,IF(H62="Venta",-1,0))</f>
        <v>0</v>
      </c>
      <c r="AG62">
        <f>IF(AND(D62&lt;&gt;"",ISNUMBER(R62)),1,0)</f>
        <v>0</v>
      </c>
      <c r="AH62">
        <f>IF(AG62=0,0,IF(OR('Panel'!$D$5="Todas las cuentas",'Panel'!$D$5="",F62='Panel'!$D$5),1,0))</f>
        <v>0</v>
      </c>
      <c r="AI62">
        <f>IF(AH62=0,0,IF(AND(OR('Panel'!$G$5="",D62&gt;='Panel'!$G$5),OR('Panel'!$J$5="",D62&lt;='Panel'!$J$5)),1,0))</f>
        <v>0</v>
      </c>
      <c r="AJ62">
        <f>IF(AI62=1,R62,0)</f>
        <v>0</v>
      </c>
      <c r="AK62" t="str">
        <f>IF(AI62=1,'Panel'!$AB$4+SUM($AJ$5:AJ62),"")</f>
        <v/>
      </c>
      <c r="AL62">
        <f>IF(AI62=0,N(AL61),IF(R62&lt;0,N(AL61)+1,0))</f>
        <v>1</v>
      </c>
      <c r="AM62">
        <f>IF(AI62=0,N(AM61),IF(R62&gt;0,N(AM61)+1,0))</f>
        <v>0</v>
      </c>
      <c r="AN62">
        <f>IF(AI62=1,MAX('Panel'!$AB$4,N(AN61),AK62),N(AN61))</f>
        <v>21371.061500000033</v>
      </c>
      <c r="AO62">
        <f>IF(AI62=1,AN62-AK62,0)</f>
        <v>0</v>
      </c>
      <c r="AP62">
        <f>IF(AND(AI62=1,AN62&gt;0),AO62/AN62,0)</f>
        <v>0</v>
      </c>
      <c r="AQ62" t="str">
        <f>IF(AI62=1,SUM($AI$5:AI62),"")</f>
        <v/>
      </c>
      <c r="AR62" t="str">
        <f>IF(AI62=1,IF(COUNTIFS($D$5:D62,D62,$AI$5:AI62,1)=1,SUMIFS($AJ$5:$AJ$504,$D$5:$D$504,D62),""),"")</f>
        <v/>
      </c>
      <c r="AS62" t="str">
        <f>IF(AG62=1,WEEKDAY(D62,2),"")</f>
        <v/>
      </c>
      <c r="AT62" s="31" t="str">
        <f>IF(AG62=1,DATE(YEAR(D62),MONTH(D62),1),"")</f>
        <v/>
      </c>
      <c r="AU62">
        <f>IF(AG62=0,0,IF(AND(OR('Prop challenge'!$D$7="",F62='Prop challenge'!$D$7),OR('Prop challenge'!$D$9="",D62&gt;='Prop challenge'!$D$9)),1,0))</f>
        <v>0</v>
      </c>
      <c r="AV62">
        <f>IF(AU62=1,IF(COUNTIFS($D$5:D62,D62,$AU$5:AU62,1)=1,1,0),0)</f>
        <v>0</v>
      </c>
      <c r="AW62" t="str">
        <f>IF(AV62=1,SUM($AV$5:AV62),"")</f>
        <v/>
      </c>
      <c r="AX62" t="str">
        <f>IF(AV62=1,SUMIFS($R$5:$R$504,$D$5:$D$504,D62,$AU$5:$AU$504,1),"")</f>
        <v/>
      </c>
    </row>
    <row r="63">
      <c r="A63" s="20" t="str">
        <f>IF(AG63=1,ROW()-4,"")</f>
        <v/>
      </c>
      <c r="B63" s="21" t="n"/>
      <c r="C63" s="22" t="n"/>
      <c r="D63" s="21" t="n"/>
      <c r="E63" s="22" t="n"/>
      <c r="F63" s="23" t="n"/>
      <c r="G63" s="23" t="n"/>
      <c r="H63" s="23" t="n"/>
      <c r="I63" s="24" t="n"/>
      <c r="J63" s="25" t="n"/>
      <c r="K63" s="25" t="n"/>
      <c r="L63" s="25" t="n"/>
      <c r="M63" s="25" t="n"/>
      <c r="N63" s="26" t="n"/>
      <c r="O63" s="26" t="n"/>
      <c r="P63" s="27" t="str">
        <f>IF(OR(J63="",K63="",I63="",AF63=0,AD63=""),"",(K63-J63)*AF63*I63*AD63*AE63)</f>
        <v/>
      </c>
      <c r="Q63" s="26" t="n"/>
      <c r="R63" s="28" t="str">
        <f>IF(Q63&lt;&gt;"",Q63,IF(P63="","",P63-N(N63)+N(O63)))</f>
        <v/>
      </c>
      <c r="S63" s="27" t="str">
        <f>IF(OR(L63="",J63="",I63="",AD63=""),"",ABS(J63-L63)*I63*AD63*AE63)</f>
        <v/>
      </c>
      <c r="T63" s="29" t="str">
        <f>IF(OR(R63="",S63="",S63=0),"",R63/S63)</f>
        <v/>
      </c>
      <c r="U63" s="20" t="str">
        <f>IF(R63="","",IF(R63&gt;0,"Ganadora",IF(R63&lt;0,"Perdedora","BE")))</f>
        <v/>
      </c>
      <c r="V63" s="23" t="n"/>
      <c r="W63" s="23" t="n"/>
      <c r="X63" s="23" t="n"/>
      <c r="Y63" s="23" t="n"/>
      <c r="Z63" s="23" t="n"/>
      <c r="AA63" s="23" t="n"/>
      <c r="AB63" s="30" t="n"/>
      <c r="AC63" s="1" t="n"/>
      <c r="AD63" s="1" t="str">
        <f>IF(G63="","",IFERROR(INDEX('Listas'!$N$6:$N$35,MATCH(G63,'Listas'!$M$6:$M$35,0)),""))</f>
        <v/>
      </c>
      <c r="AE63">
        <f>IF(G63="",1,IFERROR(INDEX('Listas'!$P$6:$P$35,MATCH(G63,'Listas'!$M$6:$M$35,0)),1))</f>
        <v>1</v>
      </c>
      <c r="AF63">
        <f>IF(H63="Compra",1,IF(H63="Venta",-1,0))</f>
        <v>0</v>
      </c>
      <c r="AG63">
        <f>IF(AND(D63&lt;&gt;"",ISNUMBER(R63)),1,0)</f>
        <v>0</v>
      </c>
      <c r="AH63">
        <f>IF(AG63=0,0,IF(OR('Panel'!$D$5="Todas las cuentas",'Panel'!$D$5="",F63='Panel'!$D$5),1,0))</f>
        <v>0</v>
      </c>
      <c r="AI63">
        <f>IF(AH63=0,0,IF(AND(OR('Panel'!$G$5="",D63&gt;='Panel'!$G$5),OR('Panel'!$J$5="",D63&lt;='Panel'!$J$5)),1,0))</f>
        <v>0</v>
      </c>
      <c r="AJ63">
        <f>IF(AI63=1,R63,0)</f>
        <v>0</v>
      </c>
      <c r="AK63" t="str">
        <f>IF(AI63=1,'Panel'!$AB$4+SUM($AJ$5:AJ63),"")</f>
        <v/>
      </c>
      <c r="AL63">
        <f>IF(AI63=0,N(AL62),IF(R63&lt;0,N(AL62)+1,0))</f>
        <v>1</v>
      </c>
      <c r="AM63">
        <f>IF(AI63=0,N(AM62),IF(R63&gt;0,N(AM62)+1,0))</f>
        <v>0</v>
      </c>
      <c r="AN63">
        <f>IF(AI63=1,MAX('Panel'!$AB$4,N(AN62),AK63),N(AN62))</f>
        <v>21371.061500000033</v>
      </c>
      <c r="AO63">
        <f>IF(AI63=1,AN63-AK63,0)</f>
        <v>0</v>
      </c>
      <c r="AP63">
        <f>IF(AND(AI63=1,AN63&gt;0),AO63/AN63,0)</f>
        <v>0</v>
      </c>
      <c r="AQ63" t="str">
        <f>IF(AI63=1,SUM($AI$5:AI63),"")</f>
        <v/>
      </c>
      <c r="AR63" t="str">
        <f>IF(AI63=1,IF(COUNTIFS($D$5:D63,D63,$AI$5:AI63,1)=1,SUMIFS($AJ$5:$AJ$504,$D$5:$D$504,D63),""),"")</f>
        <v/>
      </c>
      <c r="AS63" t="str">
        <f>IF(AG63=1,WEEKDAY(D63,2),"")</f>
        <v/>
      </c>
      <c r="AT63" s="31" t="str">
        <f>IF(AG63=1,DATE(YEAR(D63),MONTH(D63),1),"")</f>
        <v/>
      </c>
      <c r="AU63">
        <f>IF(AG63=0,0,IF(AND(OR('Prop challenge'!$D$7="",F63='Prop challenge'!$D$7),OR('Prop challenge'!$D$9="",D63&gt;='Prop challenge'!$D$9)),1,0))</f>
        <v>0</v>
      </c>
      <c r="AV63">
        <f>IF(AU63=1,IF(COUNTIFS($D$5:D63,D63,$AU$5:AU63,1)=1,1,0),0)</f>
        <v>0</v>
      </c>
      <c r="AW63" t="str">
        <f>IF(AV63=1,SUM($AV$5:AV63),"")</f>
        <v/>
      </c>
      <c r="AX63" t="str">
        <f>IF(AV63=1,SUMIFS($R$5:$R$504,$D$5:$D$504,D63,$AU$5:$AU$504,1),"")</f>
        <v/>
      </c>
    </row>
    <row r="64">
      <c r="A64" s="20" t="str">
        <f>IF(AG64=1,ROW()-4,"")</f>
        <v/>
      </c>
      <c r="B64" s="21" t="n"/>
      <c r="C64" s="22" t="n"/>
      <c r="D64" s="21" t="n"/>
      <c r="E64" s="22" t="n"/>
      <c r="F64" s="23" t="n"/>
      <c r="G64" s="23" t="n"/>
      <c r="H64" s="23" t="n"/>
      <c r="I64" s="24" t="n"/>
      <c r="J64" s="25" t="n"/>
      <c r="K64" s="25" t="n"/>
      <c r="L64" s="25" t="n"/>
      <c r="M64" s="25" t="n"/>
      <c r="N64" s="26" t="n"/>
      <c r="O64" s="26" t="n"/>
      <c r="P64" s="27" t="str">
        <f>IF(OR(J64="",K64="",I64="",AF64=0,AD64=""),"",(K64-J64)*AF64*I64*AD64*AE64)</f>
        <v/>
      </c>
      <c r="Q64" s="26" t="n"/>
      <c r="R64" s="28" t="str">
        <f>IF(Q64&lt;&gt;"",Q64,IF(P64="","",P64-N(N64)+N(O64)))</f>
        <v/>
      </c>
      <c r="S64" s="27" t="str">
        <f>IF(OR(L64="",J64="",I64="",AD64=""),"",ABS(J64-L64)*I64*AD64*AE64)</f>
        <v/>
      </c>
      <c r="T64" s="29" t="str">
        <f>IF(OR(R64="",S64="",S64=0),"",R64/S64)</f>
        <v/>
      </c>
      <c r="U64" s="20" t="str">
        <f>IF(R64="","",IF(R64&gt;0,"Ganadora",IF(R64&lt;0,"Perdedora","BE")))</f>
        <v/>
      </c>
      <c r="V64" s="23" t="n"/>
      <c r="W64" s="23" t="n"/>
      <c r="X64" s="23" t="n"/>
      <c r="Y64" s="23" t="n"/>
      <c r="Z64" s="23" t="n"/>
      <c r="AA64" s="23" t="n"/>
      <c r="AB64" s="30" t="n"/>
      <c r="AC64" s="1" t="n"/>
      <c r="AD64" s="1" t="str">
        <f>IF(G64="","",IFERROR(INDEX('Listas'!$N$6:$N$35,MATCH(G64,'Listas'!$M$6:$M$35,0)),""))</f>
        <v/>
      </c>
      <c r="AE64">
        <f>IF(G64="",1,IFERROR(INDEX('Listas'!$P$6:$P$35,MATCH(G64,'Listas'!$M$6:$M$35,0)),1))</f>
        <v>1</v>
      </c>
      <c r="AF64">
        <f>IF(H64="Compra",1,IF(H64="Venta",-1,0))</f>
        <v>0</v>
      </c>
      <c r="AG64">
        <f>IF(AND(D64&lt;&gt;"",ISNUMBER(R64)),1,0)</f>
        <v>0</v>
      </c>
      <c r="AH64">
        <f>IF(AG64=0,0,IF(OR('Panel'!$D$5="Todas las cuentas",'Panel'!$D$5="",F64='Panel'!$D$5),1,0))</f>
        <v>0</v>
      </c>
      <c r="AI64">
        <f>IF(AH64=0,0,IF(AND(OR('Panel'!$G$5="",D64&gt;='Panel'!$G$5),OR('Panel'!$J$5="",D64&lt;='Panel'!$J$5)),1,0))</f>
        <v>0</v>
      </c>
      <c r="AJ64">
        <f>IF(AI64=1,R64,0)</f>
        <v>0</v>
      </c>
      <c r="AK64" t="str">
        <f>IF(AI64=1,'Panel'!$AB$4+SUM($AJ$5:AJ64),"")</f>
        <v/>
      </c>
      <c r="AL64">
        <f>IF(AI64=0,N(AL63),IF(R64&lt;0,N(AL63)+1,0))</f>
        <v>1</v>
      </c>
      <c r="AM64">
        <f>IF(AI64=0,N(AM63),IF(R64&gt;0,N(AM63)+1,0))</f>
        <v>0</v>
      </c>
      <c r="AN64">
        <f>IF(AI64=1,MAX('Panel'!$AB$4,N(AN63),AK64),N(AN63))</f>
        <v>21371.061500000033</v>
      </c>
      <c r="AO64">
        <f>IF(AI64=1,AN64-AK64,0)</f>
        <v>0</v>
      </c>
      <c r="AP64">
        <f>IF(AND(AI64=1,AN64&gt;0),AO64/AN64,0)</f>
        <v>0</v>
      </c>
      <c r="AQ64" t="str">
        <f>IF(AI64=1,SUM($AI$5:AI64),"")</f>
        <v/>
      </c>
      <c r="AR64" t="str">
        <f>IF(AI64=1,IF(COUNTIFS($D$5:D64,D64,$AI$5:AI64,1)=1,SUMIFS($AJ$5:$AJ$504,$D$5:$D$504,D64),""),"")</f>
        <v/>
      </c>
      <c r="AS64" t="str">
        <f>IF(AG64=1,WEEKDAY(D64,2),"")</f>
        <v/>
      </c>
      <c r="AT64" s="31" t="str">
        <f>IF(AG64=1,DATE(YEAR(D64),MONTH(D64),1),"")</f>
        <v/>
      </c>
      <c r="AU64">
        <f>IF(AG64=0,0,IF(AND(OR('Prop challenge'!$D$7="",F64='Prop challenge'!$D$7),OR('Prop challenge'!$D$9="",D64&gt;='Prop challenge'!$D$9)),1,0))</f>
        <v>0</v>
      </c>
      <c r="AV64">
        <f>IF(AU64=1,IF(COUNTIFS($D$5:D64,D64,$AU$5:AU64,1)=1,1,0),0)</f>
        <v>0</v>
      </c>
      <c r="AW64" t="str">
        <f>IF(AV64=1,SUM($AV$5:AV64),"")</f>
        <v/>
      </c>
      <c r="AX64" t="str">
        <f>IF(AV64=1,SUMIFS($R$5:$R$504,$D$5:$D$504,D64,$AU$5:$AU$504,1),"")</f>
        <v/>
      </c>
    </row>
    <row r="65">
      <c r="A65" s="20" t="str">
        <f>IF(AG65=1,ROW()-4,"")</f>
        <v/>
      </c>
      <c r="B65" s="21" t="n"/>
      <c r="C65" s="22" t="n"/>
      <c r="D65" s="21" t="n"/>
      <c r="E65" s="22" t="n"/>
      <c r="F65" s="23" t="n"/>
      <c r="G65" s="23" t="n"/>
      <c r="H65" s="23" t="n"/>
      <c r="I65" s="24" t="n"/>
      <c r="J65" s="25" t="n"/>
      <c r="K65" s="25" t="n"/>
      <c r="L65" s="25" t="n"/>
      <c r="M65" s="25" t="n"/>
      <c r="N65" s="26" t="n"/>
      <c r="O65" s="26" t="n"/>
      <c r="P65" s="27" t="str">
        <f>IF(OR(J65="",K65="",I65="",AF65=0,AD65=""),"",(K65-J65)*AF65*I65*AD65*AE65)</f>
        <v/>
      </c>
      <c r="Q65" s="26" t="n"/>
      <c r="R65" s="28" t="str">
        <f>IF(Q65&lt;&gt;"",Q65,IF(P65="","",P65-N(N65)+N(O65)))</f>
        <v/>
      </c>
      <c r="S65" s="27" t="str">
        <f>IF(OR(L65="",J65="",I65="",AD65=""),"",ABS(J65-L65)*I65*AD65*AE65)</f>
        <v/>
      </c>
      <c r="T65" s="29" t="str">
        <f>IF(OR(R65="",S65="",S65=0),"",R65/S65)</f>
        <v/>
      </c>
      <c r="U65" s="20" t="str">
        <f>IF(R65="","",IF(R65&gt;0,"Ganadora",IF(R65&lt;0,"Perdedora","BE")))</f>
        <v/>
      </c>
      <c r="V65" s="23" t="n"/>
      <c r="W65" s="23" t="n"/>
      <c r="X65" s="23" t="n"/>
      <c r="Y65" s="23" t="n"/>
      <c r="Z65" s="23" t="n"/>
      <c r="AA65" s="23" t="n"/>
      <c r="AB65" s="30" t="n"/>
      <c r="AC65" s="1" t="n"/>
      <c r="AD65" s="1" t="str">
        <f>IF(G65="","",IFERROR(INDEX('Listas'!$N$6:$N$35,MATCH(G65,'Listas'!$M$6:$M$35,0)),""))</f>
        <v/>
      </c>
      <c r="AE65">
        <f>IF(G65="",1,IFERROR(INDEX('Listas'!$P$6:$P$35,MATCH(G65,'Listas'!$M$6:$M$35,0)),1))</f>
        <v>1</v>
      </c>
      <c r="AF65">
        <f>IF(H65="Compra",1,IF(H65="Venta",-1,0))</f>
        <v>0</v>
      </c>
      <c r="AG65">
        <f>IF(AND(D65&lt;&gt;"",ISNUMBER(R65)),1,0)</f>
        <v>0</v>
      </c>
      <c r="AH65">
        <f>IF(AG65=0,0,IF(OR('Panel'!$D$5="Todas las cuentas",'Panel'!$D$5="",F65='Panel'!$D$5),1,0))</f>
        <v>0</v>
      </c>
      <c r="AI65">
        <f>IF(AH65=0,0,IF(AND(OR('Panel'!$G$5="",D65&gt;='Panel'!$G$5),OR('Panel'!$J$5="",D65&lt;='Panel'!$J$5)),1,0))</f>
        <v>0</v>
      </c>
      <c r="AJ65">
        <f>IF(AI65=1,R65,0)</f>
        <v>0</v>
      </c>
      <c r="AK65" t="str">
        <f>IF(AI65=1,'Panel'!$AB$4+SUM($AJ$5:AJ65),"")</f>
        <v/>
      </c>
      <c r="AL65">
        <f>IF(AI65=0,N(AL64),IF(R65&lt;0,N(AL64)+1,0))</f>
        <v>1</v>
      </c>
      <c r="AM65">
        <f>IF(AI65=0,N(AM64),IF(R65&gt;0,N(AM64)+1,0))</f>
        <v>0</v>
      </c>
      <c r="AN65">
        <f>IF(AI65=1,MAX('Panel'!$AB$4,N(AN64),AK65),N(AN64))</f>
        <v>21371.061500000033</v>
      </c>
      <c r="AO65">
        <f>IF(AI65=1,AN65-AK65,0)</f>
        <v>0</v>
      </c>
      <c r="AP65">
        <f>IF(AND(AI65=1,AN65&gt;0),AO65/AN65,0)</f>
        <v>0</v>
      </c>
      <c r="AQ65" t="str">
        <f>IF(AI65=1,SUM($AI$5:AI65),"")</f>
        <v/>
      </c>
      <c r="AR65" t="str">
        <f>IF(AI65=1,IF(COUNTIFS($D$5:D65,D65,$AI$5:AI65,1)=1,SUMIFS($AJ$5:$AJ$504,$D$5:$D$504,D65),""),"")</f>
        <v/>
      </c>
      <c r="AS65" t="str">
        <f>IF(AG65=1,WEEKDAY(D65,2),"")</f>
        <v/>
      </c>
      <c r="AT65" s="31" t="str">
        <f>IF(AG65=1,DATE(YEAR(D65),MONTH(D65),1),"")</f>
        <v/>
      </c>
      <c r="AU65">
        <f>IF(AG65=0,0,IF(AND(OR('Prop challenge'!$D$7="",F65='Prop challenge'!$D$7),OR('Prop challenge'!$D$9="",D65&gt;='Prop challenge'!$D$9)),1,0))</f>
        <v>0</v>
      </c>
      <c r="AV65">
        <f>IF(AU65=1,IF(COUNTIFS($D$5:D65,D65,$AU$5:AU65,1)=1,1,0),0)</f>
        <v>0</v>
      </c>
      <c r="AW65" t="str">
        <f>IF(AV65=1,SUM($AV$5:AV65),"")</f>
        <v/>
      </c>
      <c r="AX65" t="str">
        <f>IF(AV65=1,SUMIFS($R$5:$R$504,$D$5:$D$504,D65,$AU$5:$AU$504,1),"")</f>
        <v/>
      </c>
    </row>
    <row r="66">
      <c r="A66" s="20" t="str">
        <f>IF(AG66=1,ROW()-4,"")</f>
        <v/>
      </c>
      <c r="B66" s="21" t="n"/>
      <c r="C66" s="22" t="n"/>
      <c r="D66" s="21" t="n"/>
      <c r="E66" s="22" t="n"/>
      <c r="F66" s="23" t="n"/>
      <c r="G66" s="23" t="n"/>
      <c r="H66" s="23" t="n"/>
      <c r="I66" s="24" t="n"/>
      <c r="J66" s="25" t="n"/>
      <c r="K66" s="25" t="n"/>
      <c r="L66" s="25" t="n"/>
      <c r="M66" s="25" t="n"/>
      <c r="N66" s="26" t="n"/>
      <c r="O66" s="26" t="n"/>
      <c r="P66" s="27" t="str">
        <f>IF(OR(J66="",K66="",I66="",AF66=0,AD66=""),"",(K66-J66)*AF66*I66*AD66*AE66)</f>
        <v/>
      </c>
      <c r="Q66" s="26" t="n"/>
      <c r="R66" s="28" t="str">
        <f>IF(Q66&lt;&gt;"",Q66,IF(P66="","",P66-N(N66)+N(O66)))</f>
        <v/>
      </c>
      <c r="S66" s="27" t="str">
        <f>IF(OR(L66="",J66="",I66="",AD66=""),"",ABS(J66-L66)*I66*AD66*AE66)</f>
        <v/>
      </c>
      <c r="T66" s="29" t="str">
        <f>IF(OR(R66="",S66="",S66=0),"",R66/S66)</f>
        <v/>
      </c>
      <c r="U66" s="20" t="str">
        <f>IF(R66="","",IF(R66&gt;0,"Ganadora",IF(R66&lt;0,"Perdedora","BE")))</f>
        <v/>
      </c>
      <c r="V66" s="23" t="n"/>
      <c r="W66" s="23" t="n"/>
      <c r="X66" s="23" t="n"/>
      <c r="Y66" s="23" t="n"/>
      <c r="Z66" s="23" t="n"/>
      <c r="AA66" s="23" t="n"/>
      <c r="AB66" s="30" t="n"/>
      <c r="AC66" s="1" t="n"/>
      <c r="AD66" s="1" t="str">
        <f>IF(G66="","",IFERROR(INDEX('Listas'!$N$6:$N$35,MATCH(G66,'Listas'!$M$6:$M$35,0)),""))</f>
        <v/>
      </c>
      <c r="AE66">
        <f>IF(G66="",1,IFERROR(INDEX('Listas'!$P$6:$P$35,MATCH(G66,'Listas'!$M$6:$M$35,0)),1))</f>
        <v>1</v>
      </c>
      <c r="AF66">
        <f>IF(H66="Compra",1,IF(H66="Venta",-1,0))</f>
        <v>0</v>
      </c>
      <c r="AG66">
        <f>IF(AND(D66&lt;&gt;"",ISNUMBER(R66)),1,0)</f>
        <v>0</v>
      </c>
      <c r="AH66">
        <f>IF(AG66=0,0,IF(OR('Panel'!$D$5="Todas las cuentas",'Panel'!$D$5="",F66='Panel'!$D$5),1,0))</f>
        <v>0</v>
      </c>
      <c r="AI66">
        <f>IF(AH66=0,0,IF(AND(OR('Panel'!$G$5="",D66&gt;='Panel'!$G$5),OR('Panel'!$J$5="",D66&lt;='Panel'!$J$5)),1,0))</f>
        <v>0</v>
      </c>
      <c r="AJ66">
        <f>IF(AI66=1,R66,0)</f>
        <v>0</v>
      </c>
      <c r="AK66" t="str">
        <f>IF(AI66=1,'Panel'!$AB$4+SUM($AJ$5:AJ66),"")</f>
        <v/>
      </c>
      <c r="AL66">
        <f>IF(AI66=0,N(AL65),IF(R66&lt;0,N(AL65)+1,0))</f>
        <v>1</v>
      </c>
      <c r="AM66">
        <f>IF(AI66=0,N(AM65),IF(R66&gt;0,N(AM65)+1,0))</f>
        <v>0</v>
      </c>
      <c r="AN66">
        <f>IF(AI66=1,MAX('Panel'!$AB$4,N(AN65),AK66),N(AN65))</f>
        <v>21371.061500000033</v>
      </c>
      <c r="AO66">
        <f>IF(AI66=1,AN66-AK66,0)</f>
        <v>0</v>
      </c>
      <c r="AP66">
        <f>IF(AND(AI66=1,AN66&gt;0),AO66/AN66,0)</f>
        <v>0</v>
      </c>
      <c r="AQ66" t="str">
        <f>IF(AI66=1,SUM($AI$5:AI66),"")</f>
        <v/>
      </c>
      <c r="AR66" t="str">
        <f>IF(AI66=1,IF(COUNTIFS($D$5:D66,D66,$AI$5:AI66,1)=1,SUMIFS($AJ$5:$AJ$504,$D$5:$D$504,D66),""),"")</f>
        <v/>
      </c>
      <c r="AS66" t="str">
        <f>IF(AG66=1,WEEKDAY(D66,2),"")</f>
        <v/>
      </c>
      <c r="AT66" s="31" t="str">
        <f>IF(AG66=1,DATE(YEAR(D66),MONTH(D66),1),"")</f>
        <v/>
      </c>
      <c r="AU66">
        <f>IF(AG66=0,0,IF(AND(OR('Prop challenge'!$D$7="",F66='Prop challenge'!$D$7),OR('Prop challenge'!$D$9="",D66&gt;='Prop challenge'!$D$9)),1,0))</f>
        <v>0</v>
      </c>
      <c r="AV66">
        <f>IF(AU66=1,IF(COUNTIFS($D$5:D66,D66,$AU$5:AU66,1)=1,1,0),0)</f>
        <v>0</v>
      </c>
      <c r="AW66" t="str">
        <f>IF(AV66=1,SUM($AV$5:AV66),"")</f>
        <v/>
      </c>
      <c r="AX66" t="str">
        <f>IF(AV66=1,SUMIFS($R$5:$R$504,$D$5:$D$504,D66,$AU$5:$AU$504,1),"")</f>
        <v/>
      </c>
    </row>
    <row r="67">
      <c r="A67" s="20" t="str">
        <f>IF(AG67=1,ROW()-4,"")</f>
        <v/>
      </c>
      <c r="B67" s="21" t="n"/>
      <c r="C67" s="22" t="n"/>
      <c r="D67" s="21" t="n"/>
      <c r="E67" s="22" t="n"/>
      <c r="F67" s="23" t="n"/>
      <c r="G67" s="23" t="n"/>
      <c r="H67" s="23" t="n"/>
      <c r="I67" s="24" t="n"/>
      <c r="J67" s="25" t="n"/>
      <c r="K67" s="25" t="n"/>
      <c r="L67" s="25" t="n"/>
      <c r="M67" s="25" t="n"/>
      <c r="N67" s="26" t="n"/>
      <c r="O67" s="26" t="n"/>
      <c r="P67" s="27" t="str">
        <f>IF(OR(J67="",K67="",I67="",AF67=0,AD67=""),"",(K67-J67)*AF67*I67*AD67*AE67)</f>
        <v/>
      </c>
      <c r="Q67" s="26" t="n"/>
      <c r="R67" s="28" t="str">
        <f>IF(Q67&lt;&gt;"",Q67,IF(P67="","",P67-N(N67)+N(O67)))</f>
        <v/>
      </c>
      <c r="S67" s="27" t="str">
        <f>IF(OR(L67="",J67="",I67="",AD67=""),"",ABS(J67-L67)*I67*AD67*AE67)</f>
        <v/>
      </c>
      <c r="T67" s="29" t="str">
        <f>IF(OR(R67="",S67="",S67=0),"",R67/S67)</f>
        <v/>
      </c>
      <c r="U67" s="20" t="str">
        <f>IF(R67="","",IF(R67&gt;0,"Ganadora",IF(R67&lt;0,"Perdedora","BE")))</f>
        <v/>
      </c>
      <c r="V67" s="23" t="n"/>
      <c r="W67" s="23" t="n"/>
      <c r="X67" s="23" t="n"/>
      <c r="Y67" s="23" t="n"/>
      <c r="Z67" s="23" t="n"/>
      <c r="AA67" s="23" t="n"/>
      <c r="AB67" s="30" t="n"/>
      <c r="AC67" s="1" t="n"/>
      <c r="AD67" s="1" t="str">
        <f>IF(G67="","",IFERROR(INDEX('Listas'!$N$6:$N$35,MATCH(G67,'Listas'!$M$6:$M$35,0)),""))</f>
        <v/>
      </c>
      <c r="AE67">
        <f>IF(G67="",1,IFERROR(INDEX('Listas'!$P$6:$P$35,MATCH(G67,'Listas'!$M$6:$M$35,0)),1))</f>
        <v>1</v>
      </c>
      <c r="AF67">
        <f>IF(H67="Compra",1,IF(H67="Venta",-1,0))</f>
        <v>0</v>
      </c>
      <c r="AG67">
        <f>IF(AND(D67&lt;&gt;"",ISNUMBER(R67)),1,0)</f>
        <v>0</v>
      </c>
      <c r="AH67">
        <f>IF(AG67=0,0,IF(OR('Panel'!$D$5="Todas las cuentas",'Panel'!$D$5="",F67='Panel'!$D$5),1,0))</f>
        <v>0</v>
      </c>
      <c r="AI67">
        <f>IF(AH67=0,0,IF(AND(OR('Panel'!$G$5="",D67&gt;='Panel'!$G$5),OR('Panel'!$J$5="",D67&lt;='Panel'!$J$5)),1,0))</f>
        <v>0</v>
      </c>
      <c r="AJ67">
        <f>IF(AI67=1,R67,0)</f>
        <v>0</v>
      </c>
      <c r="AK67" t="str">
        <f>IF(AI67=1,'Panel'!$AB$4+SUM($AJ$5:AJ67),"")</f>
        <v/>
      </c>
      <c r="AL67">
        <f>IF(AI67=0,N(AL66),IF(R67&lt;0,N(AL66)+1,0))</f>
        <v>1</v>
      </c>
      <c r="AM67">
        <f>IF(AI67=0,N(AM66),IF(R67&gt;0,N(AM66)+1,0))</f>
        <v>0</v>
      </c>
      <c r="AN67">
        <f>IF(AI67=1,MAX('Panel'!$AB$4,N(AN66),AK67),N(AN66))</f>
        <v>21371.061500000033</v>
      </c>
      <c r="AO67">
        <f>IF(AI67=1,AN67-AK67,0)</f>
        <v>0</v>
      </c>
      <c r="AP67">
        <f>IF(AND(AI67=1,AN67&gt;0),AO67/AN67,0)</f>
        <v>0</v>
      </c>
      <c r="AQ67" t="str">
        <f>IF(AI67=1,SUM($AI$5:AI67),"")</f>
        <v/>
      </c>
      <c r="AR67" t="str">
        <f>IF(AI67=1,IF(COUNTIFS($D$5:D67,D67,$AI$5:AI67,1)=1,SUMIFS($AJ$5:$AJ$504,$D$5:$D$504,D67),""),"")</f>
        <v/>
      </c>
      <c r="AS67" t="str">
        <f>IF(AG67=1,WEEKDAY(D67,2),"")</f>
        <v/>
      </c>
      <c r="AT67" s="31" t="str">
        <f>IF(AG67=1,DATE(YEAR(D67),MONTH(D67),1),"")</f>
        <v/>
      </c>
      <c r="AU67">
        <f>IF(AG67=0,0,IF(AND(OR('Prop challenge'!$D$7="",F67='Prop challenge'!$D$7),OR('Prop challenge'!$D$9="",D67&gt;='Prop challenge'!$D$9)),1,0))</f>
        <v>0</v>
      </c>
      <c r="AV67">
        <f>IF(AU67=1,IF(COUNTIFS($D$5:D67,D67,$AU$5:AU67,1)=1,1,0),0)</f>
        <v>0</v>
      </c>
      <c r="AW67" t="str">
        <f>IF(AV67=1,SUM($AV$5:AV67),"")</f>
        <v/>
      </c>
      <c r="AX67" t="str">
        <f>IF(AV67=1,SUMIFS($R$5:$R$504,$D$5:$D$504,D67,$AU$5:$AU$504,1),"")</f>
        <v/>
      </c>
    </row>
    <row r="68">
      <c r="A68" s="20" t="str">
        <f>IF(AG68=1,ROW()-4,"")</f>
        <v/>
      </c>
      <c r="B68" s="21" t="n"/>
      <c r="C68" s="22" t="n"/>
      <c r="D68" s="21" t="n"/>
      <c r="E68" s="22" t="n"/>
      <c r="F68" s="23" t="n"/>
      <c r="G68" s="23" t="n"/>
      <c r="H68" s="23" t="n"/>
      <c r="I68" s="24" t="n"/>
      <c r="J68" s="25" t="n"/>
      <c r="K68" s="25" t="n"/>
      <c r="L68" s="25" t="n"/>
      <c r="M68" s="25" t="n"/>
      <c r="N68" s="26" t="n"/>
      <c r="O68" s="26" t="n"/>
      <c r="P68" s="27" t="str">
        <f>IF(OR(J68="",K68="",I68="",AF68=0,AD68=""),"",(K68-J68)*AF68*I68*AD68*AE68)</f>
        <v/>
      </c>
      <c r="Q68" s="26" t="n"/>
      <c r="R68" s="28" t="str">
        <f>IF(Q68&lt;&gt;"",Q68,IF(P68="","",P68-N(N68)+N(O68)))</f>
        <v/>
      </c>
      <c r="S68" s="27" t="str">
        <f>IF(OR(L68="",J68="",I68="",AD68=""),"",ABS(J68-L68)*I68*AD68*AE68)</f>
        <v/>
      </c>
      <c r="T68" s="29" t="str">
        <f>IF(OR(R68="",S68="",S68=0),"",R68/S68)</f>
        <v/>
      </c>
      <c r="U68" s="20" t="str">
        <f>IF(R68="","",IF(R68&gt;0,"Ganadora",IF(R68&lt;0,"Perdedora","BE")))</f>
        <v/>
      </c>
      <c r="V68" s="23" t="n"/>
      <c r="W68" s="23" t="n"/>
      <c r="X68" s="23" t="n"/>
      <c r="Y68" s="23" t="n"/>
      <c r="Z68" s="23" t="n"/>
      <c r="AA68" s="23" t="n"/>
      <c r="AB68" s="30" t="n"/>
      <c r="AC68" s="1" t="n"/>
      <c r="AD68" s="1" t="str">
        <f>IF(G68="","",IFERROR(INDEX('Listas'!$N$6:$N$35,MATCH(G68,'Listas'!$M$6:$M$35,0)),""))</f>
        <v/>
      </c>
      <c r="AE68">
        <f>IF(G68="",1,IFERROR(INDEX('Listas'!$P$6:$P$35,MATCH(G68,'Listas'!$M$6:$M$35,0)),1))</f>
        <v>1</v>
      </c>
      <c r="AF68">
        <f>IF(H68="Compra",1,IF(H68="Venta",-1,0))</f>
        <v>0</v>
      </c>
      <c r="AG68">
        <f>IF(AND(D68&lt;&gt;"",ISNUMBER(R68)),1,0)</f>
        <v>0</v>
      </c>
      <c r="AH68">
        <f>IF(AG68=0,0,IF(OR('Panel'!$D$5="Todas las cuentas",'Panel'!$D$5="",F68='Panel'!$D$5),1,0))</f>
        <v>0</v>
      </c>
      <c r="AI68">
        <f>IF(AH68=0,0,IF(AND(OR('Panel'!$G$5="",D68&gt;='Panel'!$G$5),OR('Panel'!$J$5="",D68&lt;='Panel'!$J$5)),1,0))</f>
        <v>0</v>
      </c>
      <c r="AJ68">
        <f>IF(AI68=1,R68,0)</f>
        <v>0</v>
      </c>
      <c r="AK68" t="str">
        <f>IF(AI68=1,'Panel'!$AB$4+SUM($AJ$5:AJ68),"")</f>
        <v/>
      </c>
      <c r="AL68">
        <f>IF(AI68=0,N(AL67),IF(R68&lt;0,N(AL67)+1,0))</f>
        <v>1</v>
      </c>
      <c r="AM68">
        <f>IF(AI68=0,N(AM67),IF(R68&gt;0,N(AM67)+1,0))</f>
        <v>0</v>
      </c>
      <c r="AN68">
        <f>IF(AI68=1,MAX('Panel'!$AB$4,N(AN67),AK68),N(AN67))</f>
        <v>21371.061500000033</v>
      </c>
      <c r="AO68">
        <f>IF(AI68=1,AN68-AK68,0)</f>
        <v>0</v>
      </c>
      <c r="AP68">
        <f>IF(AND(AI68=1,AN68&gt;0),AO68/AN68,0)</f>
        <v>0</v>
      </c>
      <c r="AQ68" t="str">
        <f>IF(AI68=1,SUM($AI$5:AI68),"")</f>
        <v/>
      </c>
      <c r="AR68" t="str">
        <f>IF(AI68=1,IF(COUNTIFS($D$5:D68,D68,$AI$5:AI68,1)=1,SUMIFS($AJ$5:$AJ$504,$D$5:$D$504,D68),""),"")</f>
        <v/>
      </c>
      <c r="AS68" t="str">
        <f>IF(AG68=1,WEEKDAY(D68,2),"")</f>
        <v/>
      </c>
      <c r="AT68" s="31" t="str">
        <f>IF(AG68=1,DATE(YEAR(D68),MONTH(D68),1),"")</f>
        <v/>
      </c>
      <c r="AU68">
        <f>IF(AG68=0,0,IF(AND(OR('Prop challenge'!$D$7="",F68='Prop challenge'!$D$7),OR('Prop challenge'!$D$9="",D68&gt;='Prop challenge'!$D$9)),1,0))</f>
        <v>0</v>
      </c>
      <c r="AV68">
        <f>IF(AU68=1,IF(COUNTIFS($D$5:D68,D68,$AU$5:AU68,1)=1,1,0),0)</f>
        <v>0</v>
      </c>
      <c r="AW68" t="str">
        <f>IF(AV68=1,SUM($AV$5:AV68),"")</f>
        <v/>
      </c>
      <c r="AX68" t="str">
        <f>IF(AV68=1,SUMIFS($R$5:$R$504,$D$5:$D$504,D68,$AU$5:$AU$504,1),"")</f>
        <v/>
      </c>
    </row>
    <row r="69">
      <c r="A69" s="20" t="str">
        <f>IF(AG69=1,ROW()-4,"")</f>
        <v/>
      </c>
      <c r="B69" s="21" t="n"/>
      <c r="C69" s="22" t="n"/>
      <c r="D69" s="21" t="n"/>
      <c r="E69" s="22" t="n"/>
      <c r="F69" s="23" t="n"/>
      <c r="G69" s="23" t="n"/>
      <c r="H69" s="23" t="n"/>
      <c r="I69" s="24" t="n"/>
      <c r="J69" s="25" t="n"/>
      <c r="K69" s="25" t="n"/>
      <c r="L69" s="25" t="n"/>
      <c r="M69" s="25" t="n"/>
      <c r="N69" s="26" t="n"/>
      <c r="O69" s="26" t="n"/>
      <c r="P69" s="27" t="str">
        <f>IF(OR(J69="",K69="",I69="",AF69=0,AD69=""),"",(K69-J69)*AF69*I69*AD69*AE69)</f>
        <v/>
      </c>
      <c r="Q69" s="26" t="n"/>
      <c r="R69" s="28" t="str">
        <f>IF(Q69&lt;&gt;"",Q69,IF(P69="","",P69-N(N69)+N(O69)))</f>
        <v/>
      </c>
      <c r="S69" s="27" t="str">
        <f>IF(OR(L69="",J69="",I69="",AD69=""),"",ABS(J69-L69)*I69*AD69*AE69)</f>
        <v/>
      </c>
      <c r="T69" s="29" t="str">
        <f>IF(OR(R69="",S69="",S69=0),"",R69/S69)</f>
        <v/>
      </c>
      <c r="U69" s="20" t="str">
        <f>IF(R69="","",IF(R69&gt;0,"Ganadora",IF(R69&lt;0,"Perdedora","BE")))</f>
        <v/>
      </c>
      <c r="V69" s="23" t="n"/>
      <c r="W69" s="23" t="n"/>
      <c r="X69" s="23" t="n"/>
      <c r="Y69" s="23" t="n"/>
      <c r="Z69" s="23" t="n"/>
      <c r="AA69" s="23" t="n"/>
      <c r="AB69" s="30" t="n"/>
      <c r="AC69" s="1" t="n"/>
      <c r="AD69" s="1" t="str">
        <f>IF(G69="","",IFERROR(INDEX('Listas'!$N$6:$N$35,MATCH(G69,'Listas'!$M$6:$M$35,0)),""))</f>
        <v/>
      </c>
      <c r="AE69">
        <f>IF(G69="",1,IFERROR(INDEX('Listas'!$P$6:$P$35,MATCH(G69,'Listas'!$M$6:$M$35,0)),1))</f>
        <v>1</v>
      </c>
      <c r="AF69">
        <f>IF(H69="Compra",1,IF(H69="Venta",-1,0))</f>
        <v>0</v>
      </c>
      <c r="AG69">
        <f>IF(AND(D69&lt;&gt;"",ISNUMBER(R69)),1,0)</f>
        <v>0</v>
      </c>
      <c r="AH69">
        <f>IF(AG69=0,0,IF(OR('Panel'!$D$5="Todas las cuentas",'Panel'!$D$5="",F69='Panel'!$D$5),1,0))</f>
        <v>0</v>
      </c>
      <c r="AI69">
        <f>IF(AH69=0,0,IF(AND(OR('Panel'!$G$5="",D69&gt;='Panel'!$G$5),OR('Panel'!$J$5="",D69&lt;='Panel'!$J$5)),1,0))</f>
        <v>0</v>
      </c>
      <c r="AJ69">
        <f>IF(AI69=1,R69,0)</f>
        <v>0</v>
      </c>
      <c r="AK69" t="str">
        <f>IF(AI69=1,'Panel'!$AB$4+SUM($AJ$5:AJ69),"")</f>
        <v/>
      </c>
      <c r="AL69">
        <f>IF(AI69=0,N(AL68),IF(R69&lt;0,N(AL68)+1,0))</f>
        <v>1</v>
      </c>
      <c r="AM69">
        <f>IF(AI69=0,N(AM68),IF(R69&gt;0,N(AM68)+1,0))</f>
        <v>0</v>
      </c>
      <c r="AN69">
        <f>IF(AI69=1,MAX('Panel'!$AB$4,N(AN68),AK69),N(AN68))</f>
        <v>21371.061500000033</v>
      </c>
      <c r="AO69">
        <f>IF(AI69=1,AN69-AK69,0)</f>
        <v>0</v>
      </c>
      <c r="AP69">
        <f>IF(AND(AI69=1,AN69&gt;0),AO69/AN69,0)</f>
        <v>0</v>
      </c>
      <c r="AQ69" t="str">
        <f>IF(AI69=1,SUM($AI$5:AI69),"")</f>
        <v/>
      </c>
      <c r="AR69" t="str">
        <f>IF(AI69=1,IF(COUNTIFS($D$5:D69,D69,$AI$5:AI69,1)=1,SUMIFS($AJ$5:$AJ$504,$D$5:$D$504,D69),""),"")</f>
        <v/>
      </c>
      <c r="AS69" t="str">
        <f>IF(AG69=1,WEEKDAY(D69,2),"")</f>
        <v/>
      </c>
      <c r="AT69" s="31" t="str">
        <f>IF(AG69=1,DATE(YEAR(D69),MONTH(D69),1),"")</f>
        <v/>
      </c>
      <c r="AU69">
        <f>IF(AG69=0,0,IF(AND(OR('Prop challenge'!$D$7="",F69='Prop challenge'!$D$7),OR('Prop challenge'!$D$9="",D69&gt;='Prop challenge'!$D$9)),1,0))</f>
        <v>0</v>
      </c>
      <c r="AV69">
        <f>IF(AU69=1,IF(COUNTIFS($D$5:D69,D69,$AU$5:AU69,1)=1,1,0),0)</f>
        <v>0</v>
      </c>
      <c r="AW69" t="str">
        <f>IF(AV69=1,SUM($AV$5:AV69),"")</f>
        <v/>
      </c>
      <c r="AX69" t="str">
        <f>IF(AV69=1,SUMIFS($R$5:$R$504,$D$5:$D$504,D69,$AU$5:$AU$504,1),"")</f>
        <v/>
      </c>
    </row>
    <row r="70">
      <c r="A70" s="20" t="str">
        <f>IF(AG70=1,ROW()-4,"")</f>
        <v/>
      </c>
      <c r="B70" s="21" t="n"/>
      <c r="C70" s="22" t="n"/>
      <c r="D70" s="21" t="n"/>
      <c r="E70" s="22" t="n"/>
      <c r="F70" s="23" t="n"/>
      <c r="G70" s="23" t="n"/>
      <c r="H70" s="23" t="n"/>
      <c r="I70" s="24" t="n"/>
      <c r="J70" s="25" t="n"/>
      <c r="K70" s="25" t="n"/>
      <c r="L70" s="25" t="n"/>
      <c r="M70" s="25" t="n"/>
      <c r="N70" s="26" t="n"/>
      <c r="O70" s="26" t="n"/>
      <c r="P70" s="27" t="str">
        <f>IF(OR(J70="",K70="",I70="",AF70=0,AD70=""),"",(K70-J70)*AF70*I70*AD70*AE70)</f>
        <v/>
      </c>
      <c r="Q70" s="26" t="n"/>
      <c r="R70" s="28" t="str">
        <f>IF(Q70&lt;&gt;"",Q70,IF(P70="","",P70-N(N70)+N(O70)))</f>
        <v/>
      </c>
      <c r="S70" s="27" t="str">
        <f>IF(OR(L70="",J70="",I70="",AD70=""),"",ABS(J70-L70)*I70*AD70*AE70)</f>
        <v/>
      </c>
      <c r="T70" s="29" t="str">
        <f>IF(OR(R70="",S70="",S70=0),"",R70/S70)</f>
        <v/>
      </c>
      <c r="U70" s="20" t="str">
        <f>IF(R70="","",IF(R70&gt;0,"Ganadora",IF(R70&lt;0,"Perdedora","BE")))</f>
        <v/>
      </c>
      <c r="V70" s="23" t="n"/>
      <c r="W70" s="23" t="n"/>
      <c r="X70" s="23" t="n"/>
      <c r="Y70" s="23" t="n"/>
      <c r="Z70" s="23" t="n"/>
      <c r="AA70" s="23" t="n"/>
      <c r="AB70" s="30" t="n"/>
      <c r="AC70" s="1" t="n"/>
      <c r="AD70" s="1" t="str">
        <f>IF(G70="","",IFERROR(INDEX('Listas'!$N$6:$N$35,MATCH(G70,'Listas'!$M$6:$M$35,0)),""))</f>
        <v/>
      </c>
      <c r="AE70">
        <f>IF(G70="",1,IFERROR(INDEX('Listas'!$P$6:$P$35,MATCH(G70,'Listas'!$M$6:$M$35,0)),1))</f>
        <v>1</v>
      </c>
      <c r="AF70">
        <f>IF(H70="Compra",1,IF(H70="Venta",-1,0))</f>
        <v>0</v>
      </c>
      <c r="AG70">
        <f>IF(AND(D70&lt;&gt;"",ISNUMBER(R70)),1,0)</f>
        <v>0</v>
      </c>
      <c r="AH70">
        <f>IF(AG70=0,0,IF(OR('Panel'!$D$5="Todas las cuentas",'Panel'!$D$5="",F70='Panel'!$D$5),1,0))</f>
        <v>0</v>
      </c>
      <c r="AI70">
        <f>IF(AH70=0,0,IF(AND(OR('Panel'!$G$5="",D70&gt;='Panel'!$G$5),OR('Panel'!$J$5="",D70&lt;='Panel'!$J$5)),1,0))</f>
        <v>0</v>
      </c>
      <c r="AJ70">
        <f>IF(AI70=1,R70,0)</f>
        <v>0</v>
      </c>
      <c r="AK70" t="str">
        <f>IF(AI70=1,'Panel'!$AB$4+SUM($AJ$5:AJ70),"")</f>
        <v/>
      </c>
      <c r="AL70">
        <f>IF(AI70=0,N(AL69),IF(R70&lt;0,N(AL69)+1,0))</f>
        <v>1</v>
      </c>
      <c r="AM70">
        <f>IF(AI70=0,N(AM69),IF(R70&gt;0,N(AM69)+1,0))</f>
        <v>0</v>
      </c>
      <c r="AN70">
        <f>IF(AI70=1,MAX('Panel'!$AB$4,N(AN69),AK70),N(AN69))</f>
        <v>21371.061500000033</v>
      </c>
      <c r="AO70">
        <f>IF(AI70=1,AN70-AK70,0)</f>
        <v>0</v>
      </c>
      <c r="AP70">
        <f>IF(AND(AI70=1,AN70&gt;0),AO70/AN70,0)</f>
        <v>0</v>
      </c>
      <c r="AQ70" t="str">
        <f>IF(AI70=1,SUM($AI$5:AI70),"")</f>
        <v/>
      </c>
      <c r="AR70" t="str">
        <f>IF(AI70=1,IF(COUNTIFS($D$5:D70,D70,$AI$5:AI70,1)=1,SUMIFS($AJ$5:$AJ$504,$D$5:$D$504,D70),""),"")</f>
        <v/>
      </c>
      <c r="AS70" t="str">
        <f>IF(AG70=1,WEEKDAY(D70,2),"")</f>
        <v/>
      </c>
      <c r="AT70" s="31" t="str">
        <f>IF(AG70=1,DATE(YEAR(D70),MONTH(D70),1),"")</f>
        <v/>
      </c>
      <c r="AU70">
        <f>IF(AG70=0,0,IF(AND(OR('Prop challenge'!$D$7="",F70='Prop challenge'!$D$7),OR('Prop challenge'!$D$9="",D70&gt;='Prop challenge'!$D$9)),1,0))</f>
        <v>0</v>
      </c>
      <c r="AV70">
        <f>IF(AU70=1,IF(COUNTIFS($D$5:D70,D70,$AU$5:AU70,1)=1,1,0),0)</f>
        <v>0</v>
      </c>
      <c r="AW70" t="str">
        <f>IF(AV70=1,SUM($AV$5:AV70),"")</f>
        <v/>
      </c>
      <c r="AX70" t="str">
        <f>IF(AV70=1,SUMIFS($R$5:$R$504,$D$5:$D$504,D70,$AU$5:$AU$504,1),"")</f>
        <v/>
      </c>
    </row>
    <row r="71">
      <c r="A71" s="20" t="str">
        <f>IF(AG71=1,ROW()-4,"")</f>
        <v/>
      </c>
      <c r="B71" s="21" t="n"/>
      <c r="C71" s="22" t="n"/>
      <c r="D71" s="21" t="n"/>
      <c r="E71" s="22" t="n"/>
      <c r="F71" s="23" t="n"/>
      <c r="G71" s="23" t="n"/>
      <c r="H71" s="23" t="n"/>
      <c r="I71" s="24" t="n"/>
      <c r="J71" s="25" t="n"/>
      <c r="K71" s="25" t="n"/>
      <c r="L71" s="25" t="n"/>
      <c r="M71" s="25" t="n"/>
      <c r="N71" s="26" t="n"/>
      <c r="O71" s="26" t="n"/>
      <c r="P71" s="27" t="str">
        <f>IF(OR(J71="",K71="",I71="",AF71=0,AD71=""),"",(K71-J71)*AF71*I71*AD71*AE71)</f>
        <v/>
      </c>
      <c r="Q71" s="26" t="n"/>
      <c r="R71" s="28" t="str">
        <f>IF(Q71&lt;&gt;"",Q71,IF(P71="","",P71-N(N71)+N(O71)))</f>
        <v/>
      </c>
      <c r="S71" s="27" t="str">
        <f>IF(OR(L71="",J71="",I71="",AD71=""),"",ABS(J71-L71)*I71*AD71*AE71)</f>
        <v/>
      </c>
      <c r="T71" s="29" t="str">
        <f>IF(OR(R71="",S71="",S71=0),"",R71/S71)</f>
        <v/>
      </c>
      <c r="U71" s="20" t="str">
        <f>IF(R71="","",IF(R71&gt;0,"Ganadora",IF(R71&lt;0,"Perdedora","BE")))</f>
        <v/>
      </c>
      <c r="V71" s="23" t="n"/>
      <c r="W71" s="23" t="n"/>
      <c r="X71" s="23" t="n"/>
      <c r="Y71" s="23" t="n"/>
      <c r="Z71" s="23" t="n"/>
      <c r="AA71" s="23" t="n"/>
      <c r="AB71" s="30" t="n"/>
      <c r="AC71" s="1" t="n"/>
      <c r="AD71" s="1" t="str">
        <f>IF(G71="","",IFERROR(INDEX('Listas'!$N$6:$N$35,MATCH(G71,'Listas'!$M$6:$M$35,0)),""))</f>
        <v/>
      </c>
      <c r="AE71">
        <f>IF(G71="",1,IFERROR(INDEX('Listas'!$P$6:$P$35,MATCH(G71,'Listas'!$M$6:$M$35,0)),1))</f>
        <v>1</v>
      </c>
      <c r="AF71">
        <f>IF(H71="Compra",1,IF(H71="Venta",-1,0))</f>
        <v>0</v>
      </c>
      <c r="AG71">
        <f>IF(AND(D71&lt;&gt;"",ISNUMBER(R71)),1,0)</f>
        <v>0</v>
      </c>
      <c r="AH71">
        <f>IF(AG71=0,0,IF(OR('Panel'!$D$5="Todas las cuentas",'Panel'!$D$5="",F71='Panel'!$D$5),1,0))</f>
        <v>0</v>
      </c>
      <c r="AI71">
        <f>IF(AH71=0,0,IF(AND(OR('Panel'!$G$5="",D71&gt;='Panel'!$G$5),OR('Panel'!$J$5="",D71&lt;='Panel'!$J$5)),1,0))</f>
        <v>0</v>
      </c>
      <c r="AJ71">
        <f>IF(AI71=1,R71,0)</f>
        <v>0</v>
      </c>
      <c r="AK71" t="str">
        <f>IF(AI71=1,'Panel'!$AB$4+SUM($AJ$5:AJ71),"")</f>
        <v/>
      </c>
      <c r="AL71">
        <f>IF(AI71=0,N(AL70),IF(R71&lt;0,N(AL70)+1,0))</f>
        <v>1</v>
      </c>
      <c r="AM71">
        <f>IF(AI71=0,N(AM70),IF(R71&gt;0,N(AM70)+1,0))</f>
        <v>0</v>
      </c>
      <c r="AN71">
        <f>IF(AI71=1,MAX('Panel'!$AB$4,N(AN70),AK71),N(AN70))</f>
        <v>21371.061500000033</v>
      </c>
      <c r="AO71">
        <f>IF(AI71=1,AN71-AK71,0)</f>
        <v>0</v>
      </c>
      <c r="AP71">
        <f>IF(AND(AI71=1,AN71&gt;0),AO71/AN71,0)</f>
        <v>0</v>
      </c>
      <c r="AQ71" t="str">
        <f>IF(AI71=1,SUM($AI$5:AI71),"")</f>
        <v/>
      </c>
      <c r="AR71" t="str">
        <f>IF(AI71=1,IF(COUNTIFS($D$5:D71,D71,$AI$5:AI71,1)=1,SUMIFS($AJ$5:$AJ$504,$D$5:$D$504,D71),""),"")</f>
        <v/>
      </c>
      <c r="AS71" t="str">
        <f>IF(AG71=1,WEEKDAY(D71,2),"")</f>
        <v/>
      </c>
      <c r="AT71" s="31" t="str">
        <f>IF(AG71=1,DATE(YEAR(D71),MONTH(D71),1),"")</f>
        <v/>
      </c>
      <c r="AU71">
        <f>IF(AG71=0,0,IF(AND(OR('Prop challenge'!$D$7="",F71='Prop challenge'!$D$7),OR('Prop challenge'!$D$9="",D71&gt;='Prop challenge'!$D$9)),1,0))</f>
        <v>0</v>
      </c>
      <c r="AV71">
        <f>IF(AU71=1,IF(COUNTIFS($D$5:D71,D71,$AU$5:AU71,1)=1,1,0),0)</f>
        <v>0</v>
      </c>
      <c r="AW71" t="str">
        <f>IF(AV71=1,SUM($AV$5:AV71),"")</f>
        <v/>
      </c>
      <c r="AX71" t="str">
        <f>IF(AV71=1,SUMIFS($R$5:$R$504,$D$5:$D$504,D71,$AU$5:$AU$504,1),"")</f>
        <v/>
      </c>
    </row>
    <row r="72">
      <c r="A72" s="20" t="str">
        <f>IF(AG72=1,ROW()-4,"")</f>
        <v/>
      </c>
      <c r="B72" s="21" t="n"/>
      <c r="C72" s="22" t="n"/>
      <c r="D72" s="21" t="n"/>
      <c r="E72" s="22" t="n"/>
      <c r="F72" s="23" t="n"/>
      <c r="G72" s="23" t="n"/>
      <c r="H72" s="23" t="n"/>
      <c r="I72" s="24" t="n"/>
      <c r="J72" s="25" t="n"/>
      <c r="K72" s="25" t="n"/>
      <c r="L72" s="25" t="n"/>
      <c r="M72" s="25" t="n"/>
      <c r="N72" s="26" t="n"/>
      <c r="O72" s="26" t="n"/>
      <c r="P72" s="27" t="str">
        <f>IF(OR(J72="",K72="",I72="",AF72=0,AD72=""),"",(K72-J72)*AF72*I72*AD72*AE72)</f>
        <v/>
      </c>
      <c r="Q72" s="26" t="n"/>
      <c r="R72" s="28" t="str">
        <f>IF(Q72&lt;&gt;"",Q72,IF(P72="","",P72-N(N72)+N(O72)))</f>
        <v/>
      </c>
      <c r="S72" s="27" t="str">
        <f>IF(OR(L72="",J72="",I72="",AD72=""),"",ABS(J72-L72)*I72*AD72*AE72)</f>
        <v/>
      </c>
      <c r="T72" s="29" t="str">
        <f>IF(OR(R72="",S72="",S72=0),"",R72/S72)</f>
        <v/>
      </c>
      <c r="U72" s="20" t="str">
        <f>IF(R72="","",IF(R72&gt;0,"Ganadora",IF(R72&lt;0,"Perdedora","BE")))</f>
        <v/>
      </c>
      <c r="V72" s="23" t="n"/>
      <c r="W72" s="23" t="n"/>
      <c r="X72" s="23" t="n"/>
      <c r="Y72" s="23" t="n"/>
      <c r="Z72" s="23" t="n"/>
      <c r="AA72" s="23" t="n"/>
      <c r="AB72" s="30" t="n"/>
      <c r="AC72" s="1" t="n"/>
      <c r="AD72" s="1" t="str">
        <f>IF(G72="","",IFERROR(INDEX('Listas'!$N$6:$N$35,MATCH(G72,'Listas'!$M$6:$M$35,0)),""))</f>
        <v/>
      </c>
      <c r="AE72">
        <f>IF(G72="",1,IFERROR(INDEX('Listas'!$P$6:$P$35,MATCH(G72,'Listas'!$M$6:$M$35,0)),1))</f>
        <v>1</v>
      </c>
      <c r="AF72">
        <f>IF(H72="Compra",1,IF(H72="Venta",-1,0))</f>
        <v>0</v>
      </c>
      <c r="AG72">
        <f>IF(AND(D72&lt;&gt;"",ISNUMBER(R72)),1,0)</f>
        <v>0</v>
      </c>
      <c r="AH72">
        <f>IF(AG72=0,0,IF(OR('Panel'!$D$5="Todas las cuentas",'Panel'!$D$5="",F72='Panel'!$D$5),1,0))</f>
        <v>0</v>
      </c>
      <c r="AI72">
        <f>IF(AH72=0,0,IF(AND(OR('Panel'!$G$5="",D72&gt;='Panel'!$G$5),OR('Panel'!$J$5="",D72&lt;='Panel'!$J$5)),1,0))</f>
        <v>0</v>
      </c>
      <c r="AJ72">
        <f>IF(AI72=1,R72,0)</f>
        <v>0</v>
      </c>
      <c r="AK72" t="str">
        <f>IF(AI72=1,'Panel'!$AB$4+SUM($AJ$5:AJ72),"")</f>
        <v/>
      </c>
      <c r="AL72">
        <f>IF(AI72=0,N(AL71),IF(R72&lt;0,N(AL71)+1,0))</f>
        <v>1</v>
      </c>
      <c r="AM72">
        <f>IF(AI72=0,N(AM71),IF(R72&gt;0,N(AM71)+1,0))</f>
        <v>0</v>
      </c>
      <c r="AN72">
        <f>IF(AI72=1,MAX('Panel'!$AB$4,N(AN71),AK72),N(AN71))</f>
        <v>21371.061500000033</v>
      </c>
      <c r="AO72">
        <f>IF(AI72=1,AN72-AK72,0)</f>
        <v>0</v>
      </c>
      <c r="AP72">
        <f>IF(AND(AI72=1,AN72&gt;0),AO72/AN72,0)</f>
        <v>0</v>
      </c>
      <c r="AQ72" t="str">
        <f>IF(AI72=1,SUM($AI$5:AI72),"")</f>
        <v/>
      </c>
      <c r="AR72" t="str">
        <f>IF(AI72=1,IF(COUNTIFS($D$5:D72,D72,$AI$5:AI72,1)=1,SUMIFS($AJ$5:$AJ$504,$D$5:$D$504,D72),""),"")</f>
        <v/>
      </c>
      <c r="AS72" t="str">
        <f>IF(AG72=1,WEEKDAY(D72,2),"")</f>
        <v/>
      </c>
      <c r="AT72" s="31" t="str">
        <f>IF(AG72=1,DATE(YEAR(D72),MONTH(D72),1),"")</f>
        <v/>
      </c>
      <c r="AU72">
        <f>IF(AG72=0,0,IF(AND(OR('Prop challenge'!$D$7="",F72='Prop challenge'!$D$7),OR('Prop challenge'!$D$9="",D72&gt;='Prop challenge'!$D$9)),1,0))</f>
        <v>0</v>
      </c>
      <c r="AV72">
        <f>IF(AU72=1,IF(COUNTIFS($D$5:D72,D72,$AU$5:AU72,1)=1,1,0),0)</f>
        <v>0</v>
      </c>
      <c r="AW72" t="str">
        <f>IF(AV72=1,SUM($AV$5:AV72),"")</f>
        <v/>
      </c>
      <c r="AX72" t="str">
        <f>IF(AV72=1,SUMIFS($R$5:$R$504,$D$5:$D$504,D72,$AU$5:$AU$504,1),"")</f>
        <v/>
      </c>
    </row>
    <row r="73">
      <c r="A73" s="20" t="str">
        <f>IF(AG73=1,ROW()-4,"")</f>
        <v/>
      </c>
      <c r="B73" s="21" t="n"/>
      <c r="C73" s="22" t="n"/>
      <c r="D73" s="21" t="n"/>
      <c r="E73" s="22" t="n"/>
      <c r="F73" s="23" t="n"/>
      <c r="G73" s="23" t="n"/>
      <c r="H73" s="23" t="n"/>
      <c r="I73" s="24" t="n"/>
      <c r="J73" s="25" t="n"/>
      <c r="K73" s="25" t="n"/>
      <c r="L73" s="25" t="n"/>
      <c r="M73" s="25" t="n"/>
      <c r="N73" s="26" t="n"/>
      <c r="O73" s="26" t="n"/>
      <c r="P73" s="27" t="str">
        <f>IF(OR(J73="",K73="",I73="",AF73=0,AD73=""),"",(K73-J73)*AF73*I73*AD73*AE73)</f>
        <v/>
      </c>
      <c r="Q73" s="26" t="n"/>
      <c r="R73" s="28" t="str">
        <f>IF(Q73&lt;&gt;"",Q73,IF(P73="","",P73-N(N73)+N(O73)))</f>
        <v/>
      </c>
      <c r="S73" s="27" t="str">
        <f>IF(OR(L73="",J73="",I73="",AD73=""),"",ABS(J73-L73)*I73*AD73*AE73)</f>
        <v/>
      </c>
      <c r="T73" s="29" t="str">
        <f>IF(OR(R73="",S73="",S73=0),"",R73/S73)</f>
        <v/>
      </c>
      <c r="U73" s="20" t="str">
        <f>IF(R73="","",IF(R73&gt;0,"Ganadora",IF(R73&lt;0,"Perdedora","BE")))</f>
        <v/>
      </c>
      <c r="V73" s="23" t="n"/>
      <c r="W73" s="23" t="n"/>
      <c r="X73" s="23" t="n"/>
      <c r="Y73" s="23" t="n"/>
      <c r="Z73" s="23" t="n"/>
      <c r="AA73" s="23" t="n"/>
      <c r="AB73" s="30" t="n"/>
      <c r="AC73" s="1" t="n"/>
      <c r="AD73" s="1" t="str">
        <f>IF(G73="","",IFERROR(INDEX('Listas'!$N$6:$N$35,MATCH(G73,'Listas'!$M$6:$M$35,0)),""))</f>
        <v/>
      </c>
      <c r="AE73">
        <f>IF(G73="",1,IFERROR(INDEX('Listas'!$P$6:$P$35,MATCH(G73,'Listas'!$M$6:$M$35,0)),1))</f>
        <v>1</v>
      </c>
      <c r="AF73">
        <f>IF(H73="Compra",1,IF(H73="Venta",-1,0))</f>
        <v>0</v>
      </c>
      <c r="AG73">
        <f>IF(AND(D73&lt;&gt;"",ISNUMBER(R73)),1,0)</f>
        <v>0</v>
      </c>
      <c r="AH73">
        <f>IF(AG73=0,0,IF(OR('Panel'!$D$5="Todas las cuentas",'Panel'!$D$5="",F73='Panel'!$D$5),1,0))</f>
        <v>0</v>
      </c>
      <c r="AI73">
        <f>IF(AH73=0,0,IF(AND(OR('Panel'!$G$5="",D73&gt;='Panel'!$G$5),OR('Panel'!$J$5="",D73&lt;='Panel'!$J$5)),1,0))</f>
        <v>0</v>
      </c>
      <c r="AJ73">
        <f>IF(AI73=1,R73,0)</f>
        <v>0</v>
      </c>
      <c r="AK73" t="str">
        <f>IF(AI73=1,'Panel'!$AB$4+SUM($AJ$5:AJ73),"")</f>
        <v/>
      </c>
      <c r="AL73">
        <f>IF(AI73=0,N(AL72),IF(R73&lt;0,N(AL72)+1,0))</f>
        <v>1</v>
      </c>
      <c r="AM73">
        <f>IF(AI73=0,N(AM72),IF(R73&gt;0,N(AM72)+1,0))</f>
        <v>0</v>
      </c>
      <c r="AN73">
        <f>IF(AI73=1,MAX('Panel'!$AB$4,N(AN72),AK73),N(AN72))</f>
        <v>21371.061500000033</v>
      </c>
      <c r="AO73">
        <f>IF(AI73=1,AN73-AK73,0)</f>
        <v>0</v>
      </c>
      <c r="AP73">
        <f>IF(AND(AI73=1,AN73&gt;0),AO73/AN73,0)</f>
        <v>0</v>
      </c>
      <c r="AQ73" t="str">
        <f>IF(AI73=1,SUM($AI$5:AI73),"")</f>
        <v/>
      </c>
      <c r="AR73" t="str">
        <f>IF(AI73=1,IF(COUNTIFS($D$5:D73,D73,$AI$5:AI73,1)=1,SUMIFS($AJ$5:$AJ$504,$D$5:$D$504,D73),""),"")</f>
        <v/>
      </c>
      <c r="AS73" t="str">
        <f>IF(AG73=1,WEEKDAY(D73,2),"")</f>
        <v/>
      </c>
      <c r="AT73" s="31" t="str">
        <f>IF(AG73=1,DATE(YEAR(D73),MONTH(D73),1),"")</f>
        <v/>
      </c>
      <c r="AU73">
        <f>IF(AG73=0,0,IF(AND(OR('Prop challenge'!$D$7="",F73='Prop challenge'!$D$7),OR('Prop challenge'!$D$9="",D73&gt;='Prop challenge'!$D$9)),1,0))</f>
        <v>0</v>
      </c>
      <c r="AV73">
        <f>IF(AU73=1,IF(COUNTIFS($D$5:D73,D73,$AU$5:AU73,1)=1,1,0),0)</f>
        <v>0</v>
      </c>
      <c r="AW73" t="str">
        <f>IF(AV73=1,SUM($AV$5:AV73),"")</f>
        <v/>
      </c>
      <c r="AX73" t="str">
        <f>IF(AV73=1,SUMIFS($R$5:$R$504,$D$5:$D$504,D73,$AU$5:$AU$504,1),"")</f>
        <v/>
      </c>
    </row>
    <row r="74">
      <c r="A74" s="20" t="str">
        <f>IF(AG74=1,ROW()-4,"")</f>
        <v/>
      </c>
      <c r="B74" s="21" t="n"/>
      <c r="C74" s="22" t="n"/>
      <c r="D74" s="21" t="n"/>
      <c r="E74" s="22" t="n"/>
      <c r="F74" s="23" t="n"/>
      <c r="G74" s="23" t="n"/>
      <c r="H74" s="23" t="n"/>
      <c r="I74" s="24" t="n"/>
      <c r="J74" s="25" t="n"/>
      <c r="K74" s="25" t="n"/>
      <c r="L74" s="25" t="n"/>
      <c r="M74" s="25" t="n"/>
      <c r="N74" s="26" t="n"/>
      <c r="O74" s="26" t="n"/>
      <c r="P74" s="27" t="str">
        <f>IF(OR(J74="",K74="",I74="",AF74=0,AD74=""),"",(K74-J74)*AF74*I74*AD74*AE74)</f>
        <v/>
      </c>
      <c r="Q74" s="26" t="n"/>
      <c r="R74" s="28" t="str">
        <f>IF(Q74&lt;&gt;"",Q74,IF(P74="","",P74-N(N74)+N(O74)))</f>
        <v/>
      </c>
      <c r="S74" s="27" t="str">
        <f>IF(OR(L74="",J74="",I74="",AD74=""),"",ABS(J74-L74)*I74*AD74*AE74)</f>
        <v/>
      </c>
      <c r="T74" s="29" t="str">
        <f>IF(OR(R74="",S74="",S74=0),"",R74/S74)</f>
        <v/>
      </c>
      <c r="U74" s="20" t="str">
        <f>IF(R74="","",IF(R74&gt;0,"Ganadora",IF(R74&lt;0,"Perdedora","BE")))</f>
        <v/>
      </c>
      <c r="V74" s="23" t="n"/>
      <c r="W74" s="23" t="n"/>
      <c r="X74" s="23" t="n"/>
      <c r="Y74" s="23" t="n"/>
      <c r="Z74" s="23" t="n"/>
      <c r="AA74" s="23" t="n"/>
      <c r="AB74" s="30" t="n"/>
      <c r="AC74" s="1" t="n"/>
      <c r="AD74" s="1" t="str">
        <f>IF(G74="","",IFERROR(INDEX('Listas'!$N$6:$N$35,MATCH(G74,'Listas'!$M$6:$M$35,0)),""))</f>
        <v/>
      </c>
      <c r="AE74">
        <f>IF(G74="",1,IFERROR(INDEX('Listas'!$P$6:$P$35,MATCH(G74,'Listas'!$M$6:$M$35,0)),1))</f>
        <v>1</v>
      </c>
      <c r="AF74">
        <f>IF(H74="Compra",1,IF(H74="Venta",-1,0))</f>
        <v>0</v>
      </c>
      <c r="AG74">
        <f>IF(AND(D74&lt;&gt;"",ISNUMBER(R74)),1,0)</f>
        <v>0</v>
      </c>
      <c r="AH74">
        <f>IF(AG74=0,0,IF(OR('Panel'!$D$5="Todas las cuentas",'Panel'!$D$5="",F74='Panel'!$D$5),1,0))</f>
        <v>0</v>
      </c>
      <c r="AI74">
        <f>IF(AH74=0,0,IF(AND(OR('Panel'!$G$5="",D74&gt;='Panel'!$G$5),OR('Panel'!$J$5="",D74&lt;='Panel'!$J$5)),1,0))</f>
        <v>0</v>
      </c>
      <c r="AJ74">
        <f>IF(AI74=1,R74,0)</f>
        <v>0</v>
      </c>
      <c r="AK74" t="str">
        <f>IF(AI74=1,'Panel'!$AB$4+SUM($AJ$5:AJ74),"")</f>
        <v/>
      </c>
      <c r="AL74">
        <f>IF(AI74=0,N(AL73),IF(R74&lt;0,N(AL73)+1,0))</f>
        <v>1</v>
      </c>
      <c r="AM74">
        <f>IF(AI74=0,N(AM73),IF(R74&gt;0,N(AM73)+1,0))</f>
        <v>0</v>
      </c>
      <c r="AN74">
        <f>IF(AI74=1,MAX('Panel'!$AB$4,N(AN73),AK74),N(AN73))</f>
        <v>21371.061500000033</v>
      </c>
      <c r="AO74">
        <f>IF(AI74=1,AN74-AK74,0)</f>
        <v>0</v>
      </c>
      <c r="AP74">
        <f>IF(AND(AI74=1,AN74&gt;0),AO74/AN74,0)</f>
        <v>0</v>
      </c>
      <c r="AQ74" t="str">
        <f>IF(AI74=1,SUM($AI$5:AI74),"")</f>
        <v/>
      </c>
      <c r="AR74" t="str">
        <f>IF(AI74=1,IF(COUNTIFS($D$5:D74,D74,$AI$5:AI74,1)=1,SUMIFS($AJ$5:$AJ$504,$D$5:$D$504,D74),""),"")</f>
        <v/>
      </c>
      <c r="AS74" t="str">
        <f>IF(AG74=1,WEEKDAY(D74,2),"")</f>
        <v/>
      </c>
      <c r="AT74" s="31" t="str">
        <f>IF(AG74=1,DATE(YEAR(D74),MONTH(D74),1),"")</f>
        <v/>
      </c>
      <c r="AU74">
        <f>IF(AG74=0,0,IF(AND(OR('Prop challenge'!$D$7="",F74='Prop challenge'!$D$7),OR('Prop challenge'!$D$9="",D74&gt;='Prop challenge'!$D$9)),1,0))</f>
        <v>0</v>
      </c>
      <c r="AV74">
        <f>IF(AU74=1,IF(COUNTIFS($D$5:D74,D74,$AU$5:AU74,1)=1,1,0),0)</f>
        <v>0</v>
      </c>
      <c r="AW74" t="str">
        <f>IF(AV74=1,SUM($AV$5:AV74),"")</f>
        <v/>
      </c>
      <c r="AX74" t="str">
        <f>IF(AV74=1,SUMIFS($R$5:$R$504,$D$5:$D$504,D74,$AU$5:$AU$504,1),"")</f>
        <v/>
      </c>
    </row>
    <row r="75">
      <c r="A75" s="20" t="str">
        <f>IF(AG75=1,ROW()-4,"")</f>
        <v/>
      </c>
      <c r="B75" s="21" t="n"/>
      <c r="C75" s="22" t="n"/>
      <c r="D75" s="21" t="n"/>
      <c r="E75" s="22" t="n"/>
      <c r="F75" s="23" t="n"/>
      <c r="G75" s="23" t="n"/>
      <c r="H75" s="23" t="n"/>
      <c r="I75" s="24" t="n"/>
      <c r="J75" s="25" t="n"/>
      <c r="K75" s="25" t="n"/>
      <c r="L75" s="25" t="n"/>
      <c r="M75" s="25" t="n"/>
      <c r="N75" s="26" t="n"/>
      <c r="O75" s="26" t="n"/>
      <c r="P75" s="27" t="str">
        <f>IF(OR(J75="",K75="",I75="",AF75=0,AD75=""),"",(K75-J75)*AF75*I75*AD75*AE75)</f>
        <v/>
      </c>
      <c r="Q75" s="26" t="n"/>
      <c r="R75" s="28" t="str">
        <f>IF(Q75&lt;&gt;"",Q75,IF(P75="","",P75-N(N75)+N(O75)))</f>
        <v/>
      </c>
      <c r="S75" s="27" t="str">
        <f>IF(OR(L75="",J75="",I75="",AD75=""),"",ABS(J75-L75)*I75*AD75*AE75)</f>
        <v/>
      </c>
      <c r="T75" s="29" t="str">
        <f>IF(OR(R75="",S75="",S75=0),"",R75/S75)</f>
        <v/>
      </c>
      <c r="U75" s="20" t="str">
        <f>IF(R75="","",IF(R75&gt;0,"Ganadora",IF(R75&lt;0,"Perdedora","BE")))</f>
        <v/>
      </c>
      <c r="V75" s="23" t="n"/>
      <c r="W75" s="23" t="n"/>
      <c r="X75" s="23" t="n"/>
      <c r="Y75" s="23" t="n"/>
      <c r="Z75" s="23" t="n"/>
      <c r="AA75" s="23" t="n"/>
      <c r="AB75" s="30" t="n"/>
      <c r="AC75" s="1" t="n"/>
      <c r="AD75" s="1" t="str">
        <f>IF(G75="","",IFERROR(INDEX('Listas'!$N$6:$N$35,MATCH(G75,'Listas'!$M$6:$M$35,0)),""))</f>
        <v/>
      </c>
      <c r="AE75">
        <f>IF(G75="",1,IFERROR(INDEX('Listas'!$P$6:$P$35,MATCH(G75,'Listas'!$M$6:$M$35,0)),1))</f>
        <v>1</v>
      </c>
      <c r="AF75">
        <f>IF(H75="Compra",1,IF(H75="Venta",-1,0))</f>
        <v>0</v>
      </c>
      <c r="AG75">
        <f>IF(AND(D75&lt;&gt;"",ISNUMBER(R75)),1,0)</f>
        <v>0</v>
      </c>
      <c r="AH75">
        <f>IF(AG75=0,0,IF(OR('Panel'!$D$5="Todas las cuentas",'Panel'!$D$5="",F75='Panel'!$D$5),1,0))</f>
        <v>0</v>
      </c>
      <c r="AI75">
        <f>IF(AH75=0,0,IF(AND(OR('Panel'!$G$5="",D75&gt;='Panel'!$G$5),OR('Panel'!$J$5="",D75&lt;='Panel'!$J$5)),1,0))</f>
        <v>0</v>
      </c>
      <c r="AJ75">
        <f>IF(AI75=1,R75,0)</f>
        <v>0</v>
      </c>
      <c r="AK75" t="str">
        <f>IF(AI75=1,'Panel'!$AB$4+SUM($AJ$5:AJ75),"")</f>
        <v/>
      </c>
      <c r="AL75">
        <f>IF(AI75=0,N(AL74),IF(R75&lt;0,N(AL74)+1,0))</f>
        <v>1</v>
      </c>
      <c r="AM75">
        <f>IF(AI75=0,N(AM74),IF(R75&gt;0,N(AM74)+1,0))</f>
        <v>0</v>
      </c>
      <c r="AN75">
        <f>IF(AI75=1,MAX('Panel'!$AB$4,N(AN74),AK75),N(AN74))</f>
        <v>21371.061500000033</v>
      </c>
      <c r="AO75">
        <f>IF(AI75=1,AN75-AK75,0)</f>
        <v>0</v>
      </c>
      <c r="AP75">
        <f>IF(AND(AI75=1,AN75&gt;0),AO75/AN75,0)</f>
        <v>0</v>
      </c>
      <c r="AQ75" t="str">
        <f>IF(AI75=1,SUM($AI$5:AI75),"")</f>
        <v/>
      </c>
      <c r="AR75" t="str">
        <f>IF(AI75=1,IF(COUNTIFS($D$5:D75,D75,$AI$5:AI75,1)=1,SUMIFS($AJ$5:$AJ$504,$D$5:$D$504,D75),""),"")</f>
        <v/>
      </c>
      <c r="AS75" t="str">
        <f>IF(AG75=1,WEEKDAY(D75,2),"")</f>
        <v/>
      </c>
      <c r="AT75" s="31" t="str">
        <f>IF(AG75=1,DATE(YEAR(D75),MONTH(D75),1),"")</f>
        <v/>
      </c>
      <c r="AU75">
        <f>IF(AG75=0,0,IF(AND(OR('Prop challenge'!$D$7="",F75='Prop challenge'!$D$7),OR('Prop challenge'!$D$9="",D75&gt;='Prop challenge'!$D$9)),1,0))</f>
        <v>0</v>
      </c>
      <c r="AV75">
        <f>IF(AU75=1,IF(COUNTIFS($D$5:D75,D75,$AU$5:AU75,1)=1,1,0),0)</f>
        <v>0</v>
      </c>
      <c r="AW75" t="str">
        <f>IF(AV75=1,SUM($AV$5:AV75),"")</f>
        <v/>
      </c>
      <c r="AX75" t="str">
        <f>IF(AV75=1,SUMIFS($R$5:$R$504,$D$5:$D$504,D75,$AU$5:$AU$504,1),"")</f>
        <v/>
      </c>
    </row>
    <row r="76">
      <c r="A76" s="20" t="str">
        <f>IF(AG76=1,ROW()-4,"")</f>
        <v/>
      </c>
      <c r="B76" s="21" t="n"/>
      <c r="C76" s="22" t="n"/>
      <c r="D76" s="21" t="n"/>
      <c r="E76" s="22" t="n"/>
      <c r="F76" s="23" t="n"/>
      <c r="G76" s="23" t="n"/>
      <c r="H76" s="23" t="n"/>
      <c r="I76" s="24" t="n"/>
      <c r="J76" s="25" t="n"/>
      <c r="K76" s="25" t="n"/>
      <c r="L76" s="25" t="n"/>
      <c r="M76" s="25" t="n"/>
      <c r="N76" s="26" t="n"/>
      <c r="O76" s="26" t="n"/>
      <c r="P76" s="27" t="str">
        <f>IF(OR(J76="",K76="",I76="",AF76=0,AD76=""),"",(K76-J76)*AF76*I76*AD76*AE76)</f>
        <v/>
      </c>
      <c r="Q76" s="26" t="n"/>
      <c r="R76" s="28" t="str">
        <f>IF(Q76&lt;&gt;"",Q76,IF(P76="","",P76-N(N76)+N(O76)))</f>
        <v/>
      </c>
      <c r="S76" s="27" t="str">
        <f>IF(OR(L76="",J76="",I76="",AD76=""),"",ABS(J76-L76)*I76*AD76*AE76)</f>
        <v/>
      </c>
      <c r="T76" s="29" t="str">
        <f>IF(OR(R76="",S76="",S76=0),"",R76/S76)</f>
        <v/>
      </c>
      <c r="U76" s="20" t="str">
        <f>IF(R76="","",IF(R76&gt;0,"Ganadora",IF(R76&lt;0,"Perdedora","BE")))</f>
        <v/>
      </c>
      <c r="V76" s="23" t="n"/>
      <c r="W76" s="23" t="n"/>
      <c r="X76" s="23" t="n"/>
      <c r="Y76" s="23" t="n"/>
      <c r="Z76" s="23" t="n"/>
      <c r="AA76" s="23" t="n"/>
      <c r="AB76" s="30" t="n"/>
      <c r="AC76" s="1" t="n"/>
      <c r="AD76" s="1" t="str">
        <f>IF(G76="","",IFERROR(INDEX('Listas'!$N$6:$N$35,MATCH(G76,'Listas'!$M$6:$M$35,0)),""))</f>
        <v/>
      </c>
      <c r="AE76">
        <f>IF(G76="",1,IFERROR(INDEX('Listas'!$P$6:$P$35,MATCH(G76,'Listas'!$M$6:$M$35,0)),1))</f>
        <v>1</v>
      </c>
      <c r="AF76">
        <f>IF(H76="Compra",1,IF(H76="Venta",-1,0))</f>
        <v>0</v>
      </c>
      <c r="AG76">
        <f>IF(AND(D76&lt;&gt;"",ISNUMBER(R76)),1,0)</f>
        <v>0</v>
      </c>
      <c r="AH76">
        <f>IF(AG76=0,0,IF(OR('Panel'!$D$5="Todas las cuentas",'Panel'!$D$5="",F76='Panel'!$D$5),1,0))</f>
        <v>0</v>
      </c>
      <c r="AI76">
        <f>IF(AH76=0,0,IF(AND(OR('Panel'!$G$5="",D76&gt;='Panel'!$G$5),OR('Panel'!$J$5="",D76&lt;='Panel'!$J$5)),1,0))</f>
        <v>0</v>
      </c>
      <c r="AJ76">
        <f>IF(AI76=1,R76,0)</f>
        <v>0</v>
      </c>
      <c r="AK76" t="str">
        <f>IF(AI76=1,'Panel'!$AB$4+SUM($AJ$5:AJ76),"")</f>
        <v/>
      </c>
      <c r="AL76">
        <f>IF(AI76=0,N(AL75),IF(R76&lt;0,N(AL75)+1,0))</f>
        <v>1</v>
      </c>
      <c r="AM76">
        <f>IF(AI76=0,N(AM75),IF(R76&gt;0,N(AM75)+1,0))</f>
        <v>0</v>
      </c>
      <c r="AN76">
        <f>IF(AI76=1,MAX('Panel'!$AB$4,N(AN75),AK76),N(AN75))</f>
        <v>21371.061500000033</v>
      </c>
      <c r="AO76">
        <f>IF(AI76=1,AN76-AK76,0)</f>
        <v>0</v>
      </c>
      <c r="AP76">
        <f>IF(AND(AI76=1,AN76&gt;0),AO76/AN76,0)</f>
        <v>0</v>
      </c>
      <c r="AQ76" t="str">
        <f>IF(AI76=1,SUM($AI$5:AI76),"")</f>
        <v/>
      </c>
      <c r="AR76" t="str">
        <f>IF(AI76=1,IF(COUNTIFS($D$5:D76,D76,$AI$5:AI76,1)=1,SUMIFS($AJ$5:$AJ$504,$D$5:$D$504,D76),""),"")</f>
        <v/>
      </c>
      <c r="AS76" t="str">
        <f>IF(AG76=1,WEEKDAY(D76,2),"")</f>
        <v/>
      </c>
      <c r="AT76" s="31" t="str">
        <f>IF(AG76=1,DATE(YEAR(D76),MONTH(D76),1),"")</f>
        <v/>
      </c>
      <c r="AU76">
        <f>IF(AG76=0,0,IF(AND(OR('Prop challenge'!$D$7="",F76='Prop challenge'!$D$7),OR('Prop challenge'!$D$9="",D76&gt;='Prop challenge'!$D$9)),1,0))</f>
        <v>0</v>
      </c>
      <c r="AV76">
        <f>IF(AU76=1,IF(COUNTIFS($D$5:D76,D76,$AU$5:AU76,1)=1,1,0),0)</f>
        <v>0</v>
      </c>
      <c r="AW76" t="str">
        <f>IF(AV76=1,SUM($AV$5:AV76),"")</f>
        <v/>
      </c>
      <c r="AX76" t="str">
        <f>IF(AV76=1,SUMIFS($R$5:$R$504,$D$5:$D$504,D76,$AU$5:$AU$504,1),"")</f>
        <v/>
      </c>
    </row>
    <row r="77">
      <c r="A77" s="20" t="str">
        <f>IF(AG77=1,ROW()-4,"")</f>
        <v/>
      </c>
      <c r="B77" s="21" t="n"/>
      <c r="C77" s="22" t="n"/>
      <c r="D77" s="21" t="n"/>
      <c r="E77" s="22" t="n"/>
      <c r="F77" s="23" t="n"/>
      <c r="G77" s="23" t="n"/>
      <c r="H77" s="23" t="n"/>
      <c r="I77" s="24" t="n"/>
      <c r="J77" s="25" t="n"/>
      <c r="K77" s="25" t="n"/>
      <c r="L77" s="25" t="n"/>
      <c r="M77" s="25" t="n"/>
      <c r="N77" s="26" t="n"/>
      <c r="O77" s="26" t="n"/>
      <c r="P77" s="27" t="str">
        <f>IF(OR(J77="",K77="",I77="",AF77=0,AD77=""),"",(K77-J77)*AF77*I77*AD77*AE77)</f>
        <v/>
      </c>
      <c r="Q77" s="26" t="n"/>
      <c r="R77" s="28" t="str">
        <f>IF(Q77&lt;&gt;"",Q77,IF(P77="","",P77-N(N77)+N(O77)))</f>
        <v/>
      </c>
      <c r="S77" s="27" t="str">
        <f>IF(OR(L77="",J77="",I77="",AD77=""),"",ABS(J77-L77)*I77*AD77*AE77)</f>
        <v/>
      </c>
      <c r="T77" s="29" t="str">
        <f>IF(OR(R77="",S77="",S77=0),"",R77/S77)</f>
        <v/>
      </c>
      <c r="U77" s="20" t="str">
        <f>IF(R77="","",IF(R77&gt;0,"Ganadora",IF(R77&lt;0,"Perdedora","BE")))</f>
        <v/>
      </c>
      <c r="V77" s="23" t="n"/>
      <c r="W77" s="23" t="n"/>
      <c r="X77" s="23" t="n"/>
      <c r="Y77" s="23" t="n"/>
      <c r="Z77" s="23" t="n"/>
      <c r="AA77" s="23" t="n"/>
      <c r="AB77" s="30" t="n"/>
      <c r="AC77" s="1" t="n"/>
      <c r="AD77" s="1" t="str">
        <f>IF(G77="","",IFERROR(INDEX('Listas'!$N$6:$N$35,MATCH(G77,'Listas'!$M$6:$M$35,0)),""))</f>
        <v/>
      </c>
      <c r="AE77">
        <f>IF(G77="",1,IFERROR(INDEX('Listas'!$P$6:$P$35,MATCH(G77,'Listas'!$M$6:$M$35,0)),1))</f>
        <v>1</v>
      </c>
      <c r="AF77">
        <f>IF(H77="Compra",1,IF(H77="Venta",-1,0))</f>
        <v>0</v>
      </c>
      <c r="AG77">
        <f>IF(AND(D77&lt;&gt;"",ISNUMBER(R77)),1,0)</f>
        <v>0</v>
      </c>
      <c r="AH77">
        <f>IF(AG77=0,0,IF(OR('Panel'!$D$5="Todas las cuentas",'Panel'!$D$5="",F77='Panel'!$D$5),1,0))</f>
        <v>0</v>
      </c>
      <c r="AI77">
        <f>IF(AH77=0,0,IF(AND(OR('Panel'!$G$5="",D77&gt;='Panel'!$G$5),OR('Panel'!$J$5="",D77&lt;='Panel'!$J$5)),1,0))</f>
        <v>0</v>
      </c>
      <c r="AJ77">
        <f>IF(AI77=1,R77,0)</f>
        <v>0</v>
      </c>
      <c r="AK77" t="str">
        <f>IF(AI77=1,'Panel'!$AB$4+SUM($AJ$5:AJ77),"")</f>
        <v/>
      </c>
      <c r="AL77">
        <f>IF(AI77=0,N(AL76),IF(R77&lt;0,N(AL76)+1,0))</f>
        <v>1</v>
      </c>
      <c r="AM77">
        <f>IF(AI77=0,N(AM76),IF(R77&gt;0,N(AM76)+1,0))</f>
        <v>0</v>
      </c>
      <c r="AN77">
        <f>IF(AI77=1,MAX('Panel'!$AB$4,N(AN76),AK77),N(AN76))</f>
        <v>21371.061500000033</v>
      </c>
      <c r="AO77">
        <f>IF(AI77=1,AN77-AK77,0)</f>
        <v>0</v>
      </c>
      <c r="AP77">
        <f>IF(AND(AI77=1,AN77&gt;0),AO77/AN77,0)</f>
        <v>0</v>
      </c>
      <c r="AQ77" t="str">
        <f>IF(AI77=1,SUM($AI$5:AI77),"")</f>
        <v/>
      </c>
      <c r="AR77" t="str">
        <f>IF(AI77=1,IF(COUNTIFS($D$5:D77,D77,$AI$5:AI77,1)=1,SUMIFS($AJ$5:$AJ$504,$D$5:$D$504,D77),""),"")</f>
        <v/>
      </c>
      <c r="AS77" t="str">
        <f>IF(AG77=1,WEEKDAY(D77,2),"")</f>
        <v/>
      </c>
      <c r="AT77" s="31" t="str">
        <f>IF(AG77=1,DATE(YEAR(D77),MONTH(D77),1),"")</f>
        <v/>
      </c>
      <c r="AU77">
        <f>IF(AG77=0,0,IF(AND(OR('Prop challenge'!$D$7="",F77='Prop challenge'!$D$7),OR('Prop challenge'!$D$9="",D77&gt;='Prop challenge'!$D$9)),1,0))</f>
        <v>0</v>
      </c>
      <c r="AV77">
        <f>IF(AU77=1,IF(COUNTIFS($D$5:D77,D77,$AU$5:AU77,1)=1,1,0),0)</f>
        <v>0</v>
      </c>
      <c r="AW77" t="str">
        <f>IF(AV77=1,SUM($AV$5:AV77),"")</f>
        <v/>
      </c>
      <c r="AX77" t="str">
        <f>IF(AV77=1,SUMIFS($R$5:$R$504,$D$5:$D$504,D77,$AU$5:$AU$504,1),"")</f>
        <v/>
      </c>
    </row>
    <row r="78">
      <c r="A78" s="20" t="str">
        <f>IF(AG78=1,ROW()-4,"")</f>
        <v/>
      </c>
      <c r="B78" s="21" t="n"/>
      <c r="C78" s="22" t="n"/>
      <c r="D78" s="21" t="n"/>
      <c r="E78" s="22" t="n"/>
      <c r="F78" s="23" t="n"/>
      <c r="G78" s="23" t="n"/>
      <c r="H78" s="23" t="n"/>
      <c r="I78" s="24" t="n"/>
      <c r="J78" s="25" t="n"/>
      <c r="K78" s="25" t="n"/>
      <c r="L78" s="25" t="n"/>
      <c r="M78" s="25" t="n"/>
      <c r="N78" s="26" t="n"/>
      <c r="O78" s="26" t="n"/>
      <c r="P78" s="27" t="str">
        <f>IF(OR(J78="",K78="",I78="",AF78=0,AD78=""),"",(K78-J78)*AF78*I78*AD78*AE78)</f>
        <v/>
      </c>
      <c r="Q78" s="26" t="n"/>
      <c r="R78" s="28" t="str">
        <f>IF(Q78&lt;&gt;"",Q78,IF(P78="","",P78-N(N78)+N(O78)))</f>
        <v/>
      </c>
      <c r="S78" s="27" t="str">
        <f>IF(OR(L78="",J78="",I78="",AD78=""),"",ABS(J78-L78)*I78*AD78*AE78)</f>
        <v/>
      </c>
      <c r="T78" s="29" t="str">
        <f>IF(OR(R78="",S78="",S78=0),"",R78/S78)</f>
        <v/>
      </c>
      <c r="U78" s="20" t="str">
        <f>IF(R78="","",IF(R78&gt;0,"Ganadora",IF(R78&lt;0,"Perdedora","BE")))</f>
        <v/>
      </c>
      <c r="V78" s="23" t="n"/>
      <c r="W78" s="23" t="n"/>
      <c r="X78" s="23" t="n"/>
      <c r="Y78" s="23" t="n"/>
      <c r="Z78" s="23" t="n"/>
      <c r="AA78" s="23" t="n"/>
      <c r="AB78" s="30" t="n"/>
      <c r="AC78" s="1" t="n"/>
      <c r="AD78" s="1" t="str">
        <f>IF(G78="","",IFERROR(INDEX('Listas'!$N$6:$N$35,MATCH(G78,'Listas'!$M$6:$M$35,0)),""))</f>
        <v/>
      </c>
      <c r="AE78">
        <f>IF(G78="",1,IFERROR(INDEX('Listas'!$P$6:$P$35,MATCH(G78,'Listas'!$M$6:$M$35,0)),1))</f>
        <v>1</v>
      </c>
      <c r="AF78">
        <f>IF(H78="Compra",1,IF(H78="Venta",-1,0))</f>
        <v>0</v>
      </c>
      <c r="AG78">
        <f>IF(AND(D78&lt;&gt;"",ISNUMBER(R78)),1,0)</f>
        <v>0</v>
      </c>
      <c r="AH78">
        <f>IF(AG78=0,0,IF(OR('Panel'!$D$5="Todas las cuentas",'Panel'!$D$5="",F78='Panel'!$D$5),1,0))</f>
        <v>0</v>
      </c>
      <c r="AI78">
        <f>IF(AH78=0,0,IF(AND(OR('Panel'!$G$5="",D78&gt;='Panel'!$G$5),OR('Panel'!$J$5="",D78&lt;='Panel'!$J$5)),1,0))</f>
        <v>0</v>
      </c>
      <c r="AJ78">
        <f>IF(AI78=1,R78,0)</f>
        <v>0</v>
      </c>
      <c r="AK78" t="str">
        <f>IF(AI78=1,'Panel'!$AB$4+SUM($AJ$5:AJ78),"")</f>
        <v/>
      </c>
      <c r="AL78">
        <f>IF(AI78=0,N(AL77),IF(R78&lt;0,N(AL77)+1,0))</f>
        <v>1</v>
      </c>
      <c r="AM78">
        <f>IF(AI78=0,N(AM77),IF(R78&gt;0,N(AM77)+1,0))</f>
        <v>0</v>
      </c>
      <c r="AN78">
        <f>IF(AI78=1,MAX('Panel'!$AB$4,N(AN77),AK78),N(AN77))</f>
        <v>21371.061500000033</v>
      </c>
      <c r="AO78">
        <f>IF(AI78=1,AN78-AK78,0)</f>
        <v>0</v>
      </c>
      <c r="AP78">
        <f>IF(AND(AI78=1,AN78&gt;0),AO78/AN78,0)</f>
        <v>0</v>
      </c>
      <c r="AQ78" t="str">
        <f>IF(AI78=1,SUM($AI$5:AI78),"")</f>
        <v/>
      </c>
      <c r="AR78" t="str">
        <f>IF(AI78=1,IF(COUNTIFS($D$5:D78,D78,$AI$5:AI78,1)=1,SUMIFS($AJ$5:$AJ$504,$D$5:$D$504,D78),""),"")</f>
        <v/>
      </c>
      <c r="AS78" t="str">
        <f>IF(AG78=1,WEEKDAY(D78,2),"")</f>
        <v/>
      </c>
      <c r="AT78" s="31" t="str">
        <f>IF(AG78=1,DATE(YEAR(D78),MONTH(D78),1),"")</f>
        <v/>
      </c>
      <c r="AU78">
        <f>IF(AG78=0,0,IF(AND(OR('Prop challenge'!$D$7="",F78='Prop challenge'!$D$7),OR('Prop challenge'!$D$9="",D78&gt;='Prop challenge'!$D$9)),1,0))</f>
        <v>0</v>
      </c>
      <c r="AV78">
        <f>IF(AU78=1,IF(COUNTIFS($D$5:D78,D78,$AU$5:AU78,1)=1,1,0),0)</f>
        <v>0</v>
      </c>
      <c r="AW78" t="str">
        <f>IF(AV78=1,SUM($AV$5:AV78),"")</f>
        <v/>
      </c>
      <c r="AX78" t="str">
        <f>IF(AV78=1,SUMIFS($R$5:$R$504,$D$5:$D$504,D78,$AU$5:$AU$504,1),"")</f>
        <v/>
      </c>
    </row>
    <row r="79">
      <c r="A79" s="20" t="str">
        <f>IF(AG79=1,ROW()-4,"")</f>
        <v/>
      </c>
      <c r="B79" s="21" t="n"/>
      <c r="C79" s="22" t="n"/>
      <c r="D79" s="21" t="n"/>
      <c r="E79" s="22" t="n"/>
      <c r="F79" s="23" t="n"/>
      <c r="G79" s="23" t="n"/>
      <c r="H79" s="23" t="n"/>
      <c r="I79" s="24" t="n"/>
      <c r="J79" s="25" t="n"/>
      <c r="K79" s="25" t="n"/>
      <c r="L79" s="25" t="n"/>
      <c r="M79" s="25" t="n"/>
      <c r="N79" s="26" t="n"/>
      <c r="O79" s="26" t="n"/>
      <c r="P79" s="27" t="str">
        <f>IF(OR(J79="",K79="",I79="",AF79=0,AD79=""),"",(K79-J79)*AF79*I79*AD79*AE79)</f>
        <v/>
      </c>
      <c r="Q79" s="26" t="n"/>
      <c r="R79" s="28" t="str">
        <f>IF(Q79&lt;&gt;"",Q79,IF(P79="","",P79-N(N79)+N(O79)))</f>
        <v/>
      </c>
      <c r="S79" s="27" t="str">
        <f>IF(OR(L79="",J79="",I79="",AD79=""),"",ABS(J79-L79)*I79*AD79*AE79)</f>
        <v/>
      </c>
      <c r="T79" s="29" t="str">
        <f>IF(OR(R79="",S79="",S79=0),"",R79/S79)</f>
        <v/>
      </c>
      <c r="U79" s="20" t="str">
        <f>IF(R79="","",IF(R79&gt;0,"Ganadora",IF(R79&lt;0,"Perdedora","BE")))</f>
        <v/>
      </c>
      <c r="V79" s="23" t="n"/>
      <c r="W79" s="23" t="n"/>
      <c r="X79" s="23" t="n"/>
      <c r="Y79" s="23" t="n"/>
      <c r="Z79" s="23" t="n"/>
      <c r="AA79" s="23" t="n"/>
      <c r="AB79" s="30" t="n"/>
      <c r="AC79" s="1" t="n"/>
      <c r="AD79" s="1" t="str">
        <f>IF(G79="","",IFERROR(INDEX('Listas'!$N$6:$N$35,MATCH(G79,'Listas'!$M$6:$M$35,0)),""))</f>
        <v/>
      </c>
      <c r="AE79">
        <f>IF(G79="",1,IFERROR(INDEX('Listas'!$P$6:$P$35,MATCH(G79,'Listas'!$M$6:$M$35,0)),1))</f>
        <v>1</v>
      </c>
      <c r="AF79">
        <f>IF(H79="Compra",1,IF(H79="Venta",-1,0))</f>
        <v>0</v>
      </c>
      <c r="AG79">
        <f>IF(AND(D79&lt;&gt;"",ISNUMBER(R79)),1,0)</f>
        <v>0</v>
      </c>
      <c r="AH79">
        <f>IF(AG79=0,0,IF(OR('Panel'!$D$5="Todas las cuentas",'Panel'!$D$5="",F79='Panel'!$D$5),1,0))</f>
        <v>0</v>
      </c>
      <c r="AI79">
        <f>IF(AH79=0,0,IF(AND(OR('Panel'!$G$5="",D79&gt;='Panel'!$G$5),OR('Panel'!$J$5="",D79&lt;='Panel'!$J$5)),1,0))</f>
        <v>0</v>
      </c>
      <c r="AJ79">
        <f>IF(AI79=1,R79,0)</f>
        <v>0</v>
      </c>
      <c r="AK79" t="str">
        <f>IF(AI79=1,'Panel'!$AB$4+SUM($AJ$5:AJ79),"")</f>
        <v/>
      </c>
      <c r="AL79">
        <f>IF(AI79=0,N(AL78),IF(R79&lt;0,N(AL78)+1,0))</f>
        <v>1</v>
      </c>
      <c r="AM79">
        <f>IF(AI79=0,N(AM78),IF(R79&gt;0,N(AM78)+1,0))</f>
        <v>0</v>
      </c>
      <c r="AN79">
        <f>IF(AI79=1,MAX('Panel'!$AB$4,N(AN78),AK79),N(AN78))</f>
        <v>21371.061500000033</v>
      </c>
      <c r="AO79">
        <f>IF(AI79=1,AN79-AK79,0)</f>
        <v>0</v>
      </c>
      <c r="AP79">
        <f>IF(AND(AI79=1,AN79&gt;0),AO79/AN79,0)</f>
        <v>0</v>
      </c>
      <c r="AQ79" t="str">
        <f>IF(AI79=1,SUM($AI$5:AI79),"")</f>
        <v/>
      </c>
      <c r="AR79" t="str">
        <f>IF(AI79=1,IF(COUNTIFS($D$5:D79,D79,$AI$5:AI79,1)=1,SUMIFS($AJ$5:$AJ$504,$D$5:$D$504,D79),""),"")</f>
        <v/>
      </c>
      <c r="AS79" t="str">
        <f>IF(AG79=1,WEEKDAY(D79,2),"")</f>
        <v/>
      </c>
      <c r="AT79" s="31" t="str">
        <f>IF(AG79=1,DATE(YEAR(D79),MONTH(D79),1),"")</f>
        <v/>
      </c>
      <c r="AU79">
        <f>IF(AG79=0,0,IF(AND(OR('Prop challenge'!$D$7="",F79='Prop challenge'!$D$7),OR('Prop challenge'!$D$9="",D79&gt;='Prop challenge'!$D$9)),1,0))</f>
        <v>0</v>
      </c>
      <c r="AV79">
        <f>IF(AU79=1,IF(COUNTIFS($D$5:D79,D79,$AU$5:AU79,1)=1,1,0),0)</f>
        <v>0</v>
      </c>
      <c r="AW79" t="str">
        <f>IF(AV79=1,SUM($AV$5:AV79),"")</f>
        <v/>
      </c>
      <c r="AX79" t="str">
        <f>IF(AV79=1,SUMIFS($R$5:$R$504,$D$5:$D$504,D79,$AU$5:$AU$504,1),"")</f>
        <v/>
      </c>
    </row>
    <row r="80">
      <c r="A80" s="20" t="str">
        <f>IF(AG80=1,ROW()-4,"")</f>
        <v/>
      </c>
      <c r="B80" s="21" t="n"/>
      <c r="C80" s="22" t="n"/>
      <c r="D80" s="21" t="n"/>
      <c r="E80" s="22" t="n"/>
      <c r="F80" s="23" t="n"/>
      <c r="G80" s="23" t="n"/>
      <c r="H80" s="23" t="n"/>
      <c r="I80" s="24" t="n"/>
      <c r="J80" s="25" t="n"/>
      <c r="K80" s="25" t="n"/>
      <c r="L80" s="25" t="n"/>
      <c r="M80" s="25" t="n"/>
      <c r="N80" s="26" t="n"/>
      <c r="O80" s="26" t="n"/>
      <c r="P80" s="27" t="str">
        <f>IF(OR(J80="",K80="",I80="",AF80=0,AD80=""),"",(K80-J80)*AF80*I80*AD80*AE80)</f>
        <v/>
      </c>
      <c r="Q80" s="26" t="n"/>
      <c r="R80" s="28" t="str">
        <f>IF(Q80&lt;&gt;"",Q80,IF(P80="","",P80-N(N80)+N(O80)))</f>
        <v/>
      </c>
      <c r="S80" s="27" t="str">
        <f>IF(OR(L80="",J80="",I80="",AD80=""),"",ABS(J80-L80)*I80*AD80*AE80)</f>
        <v/>
      </c>
      <c r="T80" s="29" t="str">
        <f>IF(OR(R80="",S80="",S80=0),"",R80/S80)</f>
        <v/>
      </c>
      <c r="U80" s="20" t="str">
        <f>IF(R80="","",IF(R80&gt;0,"Ganadora",IF(R80&lt;0,"Perdedora","BE")))</f>
        <v/>
      </c>
      <c r="V80" s="23" t="n"/>
      <c r="W80" s="23" t="n"/>
      <c r="X80" s="23" t="n"/>
      <c r="Y80" s="23" t="n"/>
      <c r="Z80" s="23" t="n"/>
      <c r="AA80" s="23" t="n"/>
      <c r="AB80" s="30" t="n"/>
      <c r="AC80" s="1" t="n"/>
      <c r="AD80" s="1" t="str">
        <f>IF(G80="","",IFERROR(INDEX('Listas'!$N$6:$N$35,MATCH(G80,'Listas'!$M$6:$M$35,0)),""))</f>
        <v/>
      </c>
      <c r="AE80">
        <f>IF(G80="",1,IFERROR(INDEX('Listas'!$P$6:$P$35,MATCH(G80,'Listas'!$M$6:$M$35,0)),1))</f>
        <v>1</v>
      </c>
      <c r="AF80">
        <f>IF(H80="Compra",1,IF(H80="Venta",-1,0))</f>
        <v>0</v>
      </c>
      <c r="AG80">
        <f>IF(AND(D80&lt;&gt;"",ISNUMBER(R80)),1,0)</f>
        <v>0</v>
      </c>
      <c r="AH80">
        <f>IF(AG80=0,0,IF(OR('Panel'!$D$5="Todas las cuentas",'Panel'!$D$5="",F80='Panel'!$D$5),1,0))</f>
        <v>0</v>
      </c>
      <c r="AI80">
        <f>IF(AH80=0,0,IF(AND(OR('Panel'!$G$5="",D80&gt;='Panel'!$G$5),OR('Panel'!$J$5="",D80&lt;='Panel'!$J$5)),1,0))</f>
        <v>0</v>
      </c>
      <c r="AJ80">
        <f>IF(AI80=1,R80,0)</f>
        <v>0</v>
      </c>
      <c r="AK80" t="str">
        <f>IF(AI80=1,'Panel'!$AB$4+SUM($AJ$5:AJ80),"")</f>
        <v/>
      </c>
      <c r="AL80">
        <f>IF(AI80=0,N(AL79),IF(R80&lt;0,N(AL79)+1,0))</f>
        <v>1</v>
      </c>
      <c r="AM80">
        <f>IF(AI80=0,N(AM79),IF(R80&gt;0,N(AM79)+1,0))</f>
        <v>0</v>
      </c>
      <c r="AN80">
        <f>IF(AI80=1,MAX('Panel'!$AB$4,N(AN79),AK80),N(AN79))</f>
        <v>21371.061500000033</v>
      </c>
      <c r="AO80">
        <f>IF(AI80=1,AN80-AK80,0)</f>
        <v>0</v>
      </c>
      <c r="AP80">
        <f>IF(AND(AI80=1,AN80&gt;0),AO80/AN80,0)</f>
        <v>0</v>
      </c>
      <c r="AQ80" t="str">
        <f>IF(AI80=1,SUM($AI$5:AI80),"")</f>
        <v/>
      </c>
      <c r="AR80" t="str">
        <f>IF(AI80=1,IF(COUNTIFS($D$5:D80,D80,$AI$5:AI80,1)=1,SUMIFS($AJ$5:$AJ$504,$D$5:$D$504,D80),""),"")</f>
        <v/>
      </c>
      <c r="AS80" t="str">
        <f>IF(AG80=1,WEEKDAY(D80,2),"")</f>
        <v/>
      </c>
      <c r="AT80" s="31" t="str">
        <f>IF(AG80=1,DATE(YEAR(D80),MONTH(D80),1),"")</f>
        <v/>
      </c>
      <c r="AU80">
        <f>IF(AG80=0,0,IF(AND(OR('Prop challenge'!$D$7="",F80='Prop challenge'!$D$7),OR('Prop challenge'!$D$9="",D80&gt;='Prop challenge'!$D$9)),1,0))</f>
        <v>0</v>
      </c>
      <c r="AV80">
        <f>IF(AU80=1,IF(COUNTIFS($D$5:D80,D80,$AU$5:AU80,1)=1,1,0),0)</f>
        <v>0</v>
      </c>
      <c r="AW80" t="str">
        <f>IF(AV80=1,SUM($AV$5:AV80),"")</f>
        <v/>
      </c>
      <c r="AX80" t="str">
        <f>IF(AV80=1,SUMIFS($R$5:$R$504,$D$5:$D$504,D80,$AU$5:$AU$504,1),"")</f>
        <v/>
      </c>
    </row>
    <row r="81">
      <c r="A81" s="20" t="str">
        <f>IF(AG81=1,ROW()-4,"")</f>
        <v/>
      </c>
      <c r="B81" s="21" t="n"/>
      <c r="C81" s="22" t="n"/>
      <c r="D81" s="21" t="n"/>
      <c r="E81" s="22" t="n"/>
      <c r="F81" s="23" t="n"/>
      <c r="G81" s="23" t="n"/>
      <c r="H81" s="23" t="n"/>
      <c r="I81" s="24" t="n"/>
      <c r="J81" s="25" t="n"/>
      <c r="K81" s="25" t="n"/>
      <c r="L81" s="25" t="n"/>
      <c r="M81" s="25" t="n"/>
      <c r="N81" s="26" t="n"/>
      <c r="O81" s="26" t="n"/>
      <c r="P81" s="27" t="str">
        <f>IF(OR(J81="",K81="",I81="",AF81=0,AD81=""),"",(K81-J81)*AF81*I81*AD81*AE81)</f>
        <v/>
      </c>
      <c r="Q81" s="26" t="n"/>
      <c r="R81" s="28" t="str">
        <f>IF(Q81&lt;&gt;"",Q81,IF(P81="","",P81-N(N81)+N(O81)))</f>
        <v/>
      </c>
      <c r="S81" s="27" t="str">
        <f>IF(OR(L81="",J81="",I81="",AD81=""),"",ABS(J81-L81)*I81*AD81*AE81)</f>
        <v/>
      </c>
      <c r="T81" s="29" t="str">
        <f>IF(OR(R81="",S81="",S81=0),"",R81/S81)</f>
        <v/>
      </c>
      <c r="U81" s="20" t="str">
        <f>IF(R81="","",IF(R81&gt;0,"Ganadora",IF(R81&lt;0,"Perdedora","BE")))</f>
        <v/>
      </c>
      <c r="V81" s="23" t="n"/>
      <c r="W81" s="23" t="n"/>
      <c r="X81" s="23" t="n"/>
      <c r="Y81" s="23" t="n"/>
      <c r="Z81" s="23" t="n"/>
      <c r="AA81" s="23" t="n"/>
      <c r="AB81" s="30" t="n"/>
      <c r="AC81" s="1" t="n"/>
      <c r="AD81" s="1" t="str">
        <f>IF(G81="","",IFERROR(INDEX('Listas'!$N$6:$N$35,MATCH(G81,'Listas'!$M$6:$M$35,0)),""))</f>
        <v/>
      </c>
      <c r="AE81">
        <f>IF(G81="",1,IFERROR(INDEX('Listas'!$P$6:$P$35,MATCH(G81,'Listas'!$M$6:$M$35,0)),1))</f>
        <v>1</v>
      </c>
      <c r="AF81">
        <f>IF(H81="Compra",1,IF(H81="Venta",-1,0))</f>
        <v>0</v>
      </c>
      <c r="AG81">
        <f>IF(AND(D81&lt;&gt;"",ISNUMBER(R81)),1,0)</f>
        <v>0</v>
      </c>
      <c r="AH81">
        <f>IF(AG81=0,0,IF(OR('Panel'!$D$5="Todas las cuentas",'Panel'!$D$5="",F81='Panel'!$D$5),1,0))</f>
        <v>0</v>
      </c>
      <c r="AI81">
        <f>IF(AH81=0,0,IF(AND(OR('Panel'!$G$5="",D81&gt;='Panel'!$G$5),OR('Panel'!$J$5="",D81&lt;='Panel'!$J$5)),1,0))</f>
        <v>0</v>
      </c>
      <c r="AJ81">
        <f>IF(AI81=1,R81,0)</f>
        <v>0</v>
      </c>
      <c r="AK81" t="str">
        <f>IF(AI81=1,'Panel'!$AB$4+SUM($AJ$5:AJ81),"")</f>
        <v/>
      </c>
      <c r="AL81">
        <f>IF(AI81=0,N(AL80),IF(R81&lt;0,N(AL80)+1,0))</f>
        <v>1</v>
      </c>
      <c r="AM81">
        <f>IF(AI81=0,N(AM80),IF(R81&gt;0,N(AM80)+1,0))</f>
        <v>0</v>
      </c>
      <c r="AN81">
        <f>IF(AI81=1,MAX('Panel'!$AB$4,N(AN80),AK81),N(AN80))</f>
        <v>21371.061500000033</v>
      </c>
      <c r="AO81">
        <f>IF(AI81=1,AN81-AK81,0)</f>
        <v>0</v>
      </c>
      <c r="AP81">
        <f>IF(AND(AI81=1,AN81&gt;0),AO81/AN81,0)</f>
        <v>0</v>
      </c>
      <c r="AQ81" t="str">
        <f>IF(AI81=1,SUM($AI$5:AI81),"")</f>
        <v/>
      </c>
      <c r="AR81" t="str">
        <f>IF(AI81=1,IF(COUNTIFS($D$5:D81,D81,$AI$5:AI81,1)=1,SUMIFS($AJ$5:$AJ$504,$D$5:$D$504,D81),""),"")</f>
        <v/>
      </c>
      <c r="AS81" t="str">
        <f>IF(AG81=1,WEEKDAY(D81,2),"")</f>
        <v/>
      </c>
      <c r="AT81" s="31" t="str">
        <f>IF(AG81=1,DATE(YEAR(D81),MONTH(D81),1),"")</f>
        <v/>
      </c>
      <c r="AU81">
        <f>IF(AG81=0,0,IF(AND(OR('Prop challenge'!$D$7="",F81='Prop challenge'!$D$7),OR('Prop challenge'!$D$9="",D81&gt;='Prop challenge'!$D$9)),1,0))</f>
        <v>0</v>
      </c>
      <c r="AV81">
        <f>IF(AU81=1,IF(COUNTIFS($D$5:D81,D81,$AU$5:AU81,1)=1,1,0),0)</f>
        <v>0</v>
      </c>
      <c r="AW81" t="str">
        <f>IF(AV81=1,SUM($AV$5:AV81),"")</f>
        <v/>
      </c>
      <c r="AX81" t="str">
        <f>IF(AV81=1,SUMIFS($R$5:$R$504,$D$5:$D$504,D81,$AU$5:$AU$504,1),"")</f>
        <v/>
      </c>
    </row>
    <row r="82">
      <c r="A82" s="20" t="str">
        <f>IF(AG82=1,ROW()-4,"")</f>
        <v/>
      </c>
      <c r="B82" s="21" t="n"/>
      <c r="C82" s="22" t="n"/>
      <c r="D82" s="21" t="n"/>
      <c r="E82" s="22" t="n"/>
      <c r="F82" s="23" t="n"/>
      <c r="G82" s="23" t="n"/>
      <c r="H82" s="23" t="n"/>
      <c r="I82" s="24" t="n"/>
      <c r="J82" s="25" t="n"/>
      <c r="K82" s="25" t="n"/>
      <c r="L82" s="25" t="n"/>
      <c r="M82" s="25" t="n"/>
      <c r="N82" s="26" t="n"/>
      <c r="O82" s="26" t="n"/>
      <c r="P82" s="27" t="str">
        <f>IF(OR(J82="",K82="",I82="",AF82=0,AD82=""),"",(K82-J82)*AF82*I82*AD82*AE82)</f>
        <v/>
      </c>
      <c r="Q82" s="26" t="n"/>
      <c r="R82" s="28" t="str">
        <f>IF(Q82&lt;&gt;"",Q82,IF(P82="","",P82-N(N82)+N(O82)))</f>
        <v/>
      </c>
      <c r="S82" s="27" t="str">
        <f>IF(OR(L82="",J82="",I82="",AD82=""),"",ABS(J82-L82)*I82*AD82*AE82)</f>
        <v/>
      </c>
      <c r="T82" s="29" t="str">
        <f>IF(OR(R82="",S82="",S82=0),"",R82/S82)</f>
        <v/>
      </c>
      <c r="U82" s="20" t="str">
        <f>IF(R82="","",IF(R82&gt;0,"Ganadora",IF(R82&lt;0,"Perdedora","BE")))</f>
        <v/>
      </c>
      <c r="V82" s="23" t="n"/>
      <c r="W82" s="23" t="n"/>
      <c r="X82" s="23" t="n"/>
      <c r="Y82" s="23" t="n"/>
      <c r="Z82" s="23" t="n"/>
      <c r="AA82" s="23" t="n"/>
      <c r="AB82" s="30" t="n"/>
      <c r="AC82" s="1" t="n"/>
      <c r="AD82" s="1" t="str">
        <f>IF(G82="","",IFERROR(INDEX('Listas'!$N$6:$N$35,MATCH(G82,'Listas'!$M$6:$M$35,0)),""))</f>
        <v/>
      </c>
      <c r="AE82">
        <f>IF(G82="",1,IFERROR(INDEX('Listas'!$P$6:$P$35,MATCH(G82,'Listas'!$M$6:$M$35,0)),1))</f>
        <v>1</v>
      </c>
      <c r="AF82">
        <f>IF(H82="Compra",1,IF(H82="Venta",-1,0))</f>
        <v>0</v>
      </c>
      <c r="AG82">
        <f>IF(AND(D82&lt;&gt;"",ISNUMBER(R82)),1,0)</f>
        <v>0</v>
      </c>
      <c r="AH82">
        <f>IF(AG82=0,0,IF(OR('Panel'!$D$5="Todas las cuentas",'Panel'!$D$5="",F82='Panel'!$D$5),1,0))</f>
        <v>0</v>
      </c>
      <c r="AI82">
        <f>IF(AH82=0,0,IF(AND(OR('Panel'!$G$5="",D82&gt;='Panel'!$G$5),OR('Panel'!$J$5="",D82&lt;='Panel'!$J$5)),1,0))</f>
        <v>0</v>
      </c>
      <c r="AJ82">
        <f>IF(AI82=1,R82,0)</f>
        <v>0</v>
      </c>
      <c r="AK82" t="str">
        <f>IF(AI82=1,'Panel'!$AB$4+SUM($AJ$5:AJ82),"")</f>
        <v/>
      </c>
      <c r="AL82">
        <f>IF(AI82=0,N(AL81),IF(R82&lt;0,N(AL81)+1,0))</f>
        <v>1</v>
      </c>
      <c r="AM82">
        <f>IF(AI82=0,N(AM81),IF(R82&gt;0,N(AM81)+1,0))</f>
        <v>0</v>
      </c>
      <c r="AN82">
        <f>IF(AI82=1,MAX('Panel'!$AB$4,N(AN81),AK82),N(AN81))</f>
        <v>21371.061500000033</v>
      </c>
      <c r="AO82">
        <f>IF(AI82=1,AN82-AK82,0)</f>
        <v>0</v>
      </c>
      <c r="AP82">
        <f>IF(AND(AI82=1,AN82&gt;0),AO82/AN82,0)</f>
        <v>0</v>
      </c>
      <c r="AQ82" t="str">
        <f>IF(AI82=1,SUM($AI$5:AI82),"")</f>
        <v/>
      </c>
      <c r="AR82" t="str">
        <f>IF(AI82=1,IF(COUNTIFS($D$5:D82,D82,$AI$5:AI82,1)=1,SUMIFS($AJ$5:$AJ$504,$D$5:$D$504,D82),""),"")</f>
        <v/>
      </c>
      <c r="AS82" t="str">
        <f>IF(AG82=1,WEEKDAY(D82,2),"")</f>
        <v/>
      </c>
      <c r="AT82" s="31" t="str">
        <f>IF(AG82=1,DATE(YEAR(D82),MONTH(D82),1),"")</f>
        <v/>
      </c>
      <c r="AU82">
        <f>IF(AG82=0,0,IF(AND(OR('Prop challenge'!$D$7="",F82='Prop challenge'!$D$7),OR('Prop challenge'!$D$9="",D82&gt;='Prop challenge'!$D$9)),1,0))</f>
        <v>0</v>
      </c>
      <c r="AV82">
        <f>IF(AU82=1,IF(COUNTIFS($D$5:D82,D82,$AU$5:AU82,1)=1,1,0),0)</f>
        <v>0</v>
      </c>
      <c r="AW82" t="str">
        <f>IF(AV82=1,SUM($AV$5:AV82),"")</f>
        <v/>
      </c>
      <c r="AX82" t="str">
        <f>IF(AV82=1,SUMIFS($R$5:$R$504,$D$5:$D$504,D82,$AU$5:$AU$504,1),"")</f>
        <v/>
      </c>
    </row>
    <row r="83">
      <c r="A83" s="20" t="str">
        <f>IF(AG83=1,ROW()-4,"")</f>
        <v/>
      </c>
      <c r="B83" s="21" t="n"/>
      <c r="C83" s="22" t="n"/>
      <c r="D83" s="21" t="n"/>
      <c r="E83" s="22" t="n"/>
      <c r="F83" s="23" t="n"/>
      <c r="G83" s="23" t="n"/>
      <c r="H83" s="23" t="n"/>
      <c r="I83" s="24" t="n"/>
      <c r="J83" s="25" t="n"/>
      <c r="K83" s="25" t="n"/>
      <c r="L83" s="25" t="n"/>
      <c r="M83" s="25" t="n"/>
      <c r="N83" s="26" t="n"/>
      <c r="O83" s="26" t="n"/>
      <c r="P83" s="27" t="str">
        <f>IF(OR(J83="",K83="",I83="",AF83=0,AD83=""),"",(K83-J83)*AF83*I83*AD83*AE83)</f>
        <v/>
      </c>
      <c r="Q83" s="26" t="n"/>
      <c r="R83" s="28" t="str">
        <f>IF(Q83&lt;&gt;"",Q83,IF(P83="","",P83-N(N83)+N(O83)))</f>
        <v/>
      </c>
      <c r="S83" s="27" t="str">
        <f>IF(OR(L83="",J83="",I83="",AD83=""),"",ABS(J83-L83)*I83*AD83*AE83)</f>
        <v/>
      </c>
      <c r="T83" s="29" t="str">
        <f>IF(OR(R83="",S83="",S83=0),"",R83/S83)</f>
        <v/>
      </c>
      <c r="U83" s="20" t="str">
        <f>IF(R83="","",IF(R83&gt;0,"Ganadora",IF(R83&lt;0,"Perdedora","BE")))</f>
        <v/>
      </c>
      <c r="V83" s="23" t="n"/>
      <c r="W83" s="23" t="n"/>
      <c r="X83" s="23" t="n"/>
      <c r="Y83" s="23" t="n"/>
      <c r="Z83" s="23" t="n"/>
      <c r="AA83" s="23" t="n"/>
      <c r="AB83" s="30" t="n"/>
      <c r="AC83" s="1" t="n"/>
      <c r="AD83" s="1" t="str">
        <f>IF(G83="","",IFERROR(INDEX('Listas'!$N$6:$N$35,MATCH(G83,'Listas'!$M$6:$M$35,0)),""))</f>
        <v/>
      </c>
      <c r="AE83">
        <f>IF(G83="",1,IFERROR(INDEX('Listas'!$P$6:$P$35,MATCH(G83,'Listas'!$M$6:$M$35,0)),1))</f>
        <v>1</v>
      </c>
      <c r="AF83">
        <f>IF(H83="Compra",1,IF(H83="Venta",-1,0))</f>
        <v>0</v>
      </c>
      <c r="AG83">
        <f>IF(AND(D83&lt;&gt;"",ISNUMBER(R83)),1,0)</f>
        <v>0</v>
      </c>
      <c r="AH83">
        <f>IF(AG83=0,0,IF(OR('Panel'!$D$5="Todas las cuentas",'Panel'!$D$5="",F83='Panel'!$D$5),1,0))</f>
        <v>0</v>
      </c>
      <c r="AI83">
        <f>IF(AH83=0,0,IF(AND(OR('Panel'!$G$5="",D83&gt;='Panel'!$G$5),OR('Panel'!$J$5="",D83&lt;='Panel'!$J$5)),1,0))</f>
        <v>0</v>
      </c>
      <c r="AJ83">
        <f>IF(AI83=1,R83,0)</f>
        <v>0</v>
      </c>
      <c r="AK83" t="str">
        <f>IF(AI83=1,'Panel'!$AB$4+SUM($AJ$5:AJ83),"")</f>
        <v/>
      </c>
      <c r="AL83">
        <f>IF(AI83=0,N(AL82),IF(R83&lt;0,N(AL82)+1,0))</f>
        <v>1</v>
      </c>
      <c r="AM83">
        <f>IF(AI83=0,N(AM82),IF(R83&gt;0,N(AM82)+1,0))</f>
        <v>0</v>
      </c>
      <c r="AN83">
        <f>IF(AI83=1,MAX('Panel'!$AB$4,N(AN82),AK83),N(AN82))</f>
        <v>21371.061500000033</v>
      </c>
      <c r="AO83">
        <f>IF(AI83=1,AN83-AK83,0)</f>
        <v>0</v>
      </c>
      <c r="AP83">
        <f>IF(AND(AI83=1,AN83&gt;0),AO83/AN83,0)</f>
        <v>0</v>
      </c>
      <c r="AQ83" t="str">
        <f>IF(AI83=1,SUM($AI$5:AI83),"")</f>
        <v/>
      </c>
      <c r="AR83" t="str">
        <f>IF(AI83=1,IF(COUNTIFS($D$5:D83,D83,$AI$5:AI83,1)=1,SUMIFS($AJ$5:$AJ$504,$D$5:$D$504,D83),""),"")</f>
        <v/>
      </c>
      <c r="AS83" t="str">
        <f>IF(AG83=1,WEEKDAY(D83,2),"")</f>
        <v/>
      </c>
      <c r="AT83" s="31" t="str">
        <f>IF(AG83=1,DATE(YEAR(D83),MONTH(D83),1),"")</f>
        <v/>
      </c>
      <c r="AU83">
        <f>IF(AG83=0,0,IF(AND(OR('Prop challenge'!$D$7="",F83='Prop challenge'!$D$7),OR('Prop challenge'!$D$9="",D83&gt;='Prop challenge'!$D$9)),1,0))</f>
        <v>0</v>
      </c>
      <c r="AV83">
        <f>IF(AU83=1,IF(COUNTIFS($D$5:D83,D83,$AU$5:AU83,1)=1,1,0),0)</f>
        <v>0</v>
      </c>
      <c r="AW83" t="str">
        <f>IF(AV83=1,SUM($AV$5:AV83),"")</f>
        <v/>
      </c>
      <c r="AX83" t="str">
        <f>IF(AV83=1,SUMIFS($R$5:$R$504,$D$5:$D$504,D83,$AU$5:$AU$504,1),"")</f>
        <v/>
      </c>
    </row>
    <row r="84">
      <c r="A84" s="20" t="str">
        <f>IF(AG84=1,ROW()-4,"")</f>
        <v/>
      </c>
      <c r="B84" s="21" t="n"/>
      <c r="C84" s="22" t="n"/>
      <c r="D84" s="21" t="n"/>
      <c r="E84" s="22" t="n"/>
      <c r="F84" s="23" t="n"/>
      <c r="G84" s="23" t="n"/>
      <c r="H84" s="23" t="n"/>
      <c r="I84" s="24" t="n"/>
      <c r="J84" s="25" t="n"/>
      <c r="K84" s="25" t="n"/>
      <c r="L84" s="25" t="n"/>
      <c r="M84" s="25" t="n"/>
      <c r="N84" s="26" t="n"/>
      <c r="O84" s="26" t="n"/>
      <c r="P84" s="27" t="str">
        <f>IF(OR(J84="",K84="",I84="",AF84=0,AD84=""),"",(K84-J84)*AF84*I84*AD84*AE84)</f>
        <v/>
      </c>
      <c r="Q84" s="26" t="n"/>
      <c r="R84" s="28" t="str">
        <f>IF(Q84&lt;&gt;"",Q84,IF(P84="","",P84-N(N84)+N(O84)))</f>
        <v/>
      </c>
      <c r="S84" s="27" t="str">
        <f>IF(OR(L84="",J84="",I84="",AD84=""),"",ABS(J84-L84)*I84*AD84*AE84)</f>
        <v/>
      </c>
      <c r="T84" s="29" t="str">
        <f>IF(OR(R84="",S84="",S84=0),"",R84/S84)</f>
        <v/>
      </c>
      <c r="U84" s="20" t="str">
        <f>IF(R84="","",IF(R84&gt;0,"Ganadora",IF(R84&lt;0,"Perdedora","BE")))</f>
        <v/>
      </c>
      <c r="V84" s="23" t="n"/>
      <c r="W84" s="23" t="n"/>
      <c r="X84" s="23" t="n"/>
      <c r="Y84" s="23" t="n"/>
      <c r="Z84" s="23" t="n"/>
      <c r="AA84" s="23" t="n"/>
      <c r="AB84" s="30" t="n"/>
      <c r="AC84" s="1" t="n"/>
      <c r="AD84" s="1" t="str">
        <f>IF(G84="","",IFERROR(INDEX('Listas'!$N$6:$N$35,MATCH(G84,'Listas'!$M$6:$M$35,0)),""))</f>
        <v/>
      </c>
      <c r="AE84">
        <f>IF(G84="",1,IFERROR(INDEX('Listas'!$P$6:$P$35,MATCH(G84,'Listas'!$M$6:$M$35,0)),1))</f>
        <v>1</v>
      </c>
      <c r="AF84">
        <f>IF(H84="Compra",1,IF(H84="Venta",-1,0))</f>
        <v>0</v>
      </c>
      <c r="AG84">
        <f>IF(AND(D84&lt;&gt;"",ISNUMBER(R84)),1,0)</f>
        <v>0</v>
      </c>
      <c r="AH84">
        <f>IF(AG84=0,0,IF(OR('Panel'!$D$5="Todas las cuentas",'Panel'!$D$5="",F84='Panel'!$D$5),1,0))</f>
        <v>0</v>
      </c>
      <c r="AI84">
        <f>IF(AH84=0,0,IF(AND(OR('Panel'!$G$5="",D84&gt;='Panel'!$G$5),OR('Panel'!$J$5="",D84&lt;='Panel'!$J$5)),1,0))</f>
        <v>0</v>
      </c>
      <c r="AJ84">
        <f>IF(AI84=1,R84,0)</f>
        <v>0</v>
      </c>
      <c r="AK84" t="str">
        <f>IF(AI84=1,'Panel'!$AB$4+SUM($AJ$5:AJ84),"")</f>
        <v/>
      </c>
      <c r="AL84">
        <f>IF(AI84=0,N(AL83),IF(R84&lt;0,N(AL83)+1,0))</f>
        <v>1</v>
      </c>
      <c r="AM84">
        <f>IF(AI84=0,N(AM83),IF(R84&gt;0,N(AM83)+1,0))</f>
        <v>0</v>
      </c>
      <c r="AN84">
        <f>IF(AI84=1,MAX('Panel'!$AB$4,N(AN83),AK84),N(AN83))</f>
        <v>21371.061500000033</v>
      </c>
      <c r="AO84">
        <f>IF(AI84=1,AN84-AK84,0)</f>
        <v>0</v>
      </c>
      <c r="AP84">
        <f>IF(AND(AI84=1,AN84&gt;0),AO84/AN84,0)</f>
        <v>0</v>
      </c>
      <c r="AQ84" t="str">
        <f>IF(AI84=1,SUM($AI$5:AI84),"")</f>
        <v/>
      </c>
      <c r="AR84" t="str">
        <f>IF(AI84=1,IF(COUNTIFS($D$5:D84,D84,$AI$5:AI84,1)=1,SUMIFS($AJ$5:$AJ$504,$D$5:$D$504,D84),""),"")</f>
        <v/>
      </c>
      <c r="AS84" t="str">
        <f>IF(AG84=1,WEEKDAY(D84,2),"")</f>
        <v/>
      </c>
      <c r="AT84" s="31" t="str">
        <f>IF(AG84=1,DATE(YEAR(D84),MONTH(D84),1),"")</f>
        <v/>
      </c>
      <c r="AU84">
        <f>IF(AG84=0,0,IF(AND(OR('Prop challenge'!$D$7="",F84='Prop challenge'!$D$7),OR('Prop challenge'!$D$9="",D84&gt;='Prop challenge'!$D$9)),1,0))</f>
        <v>0</v>
      </c>
      <c r="AV84">
        <f>IF(AU84=1,IF(COUNTIFS($D$5:D84,D84,$AU$5:AU84,1)=1,1,0),0)</f>
        <v>0</v>
      </c>
      <c r="AW84" t="str">
        <f>IF(AV84=1,SUM($AV$5:AV84),"")</f>
        <v/>
      </c>
      <c r="AX84" t="str">
        <f>IF(AV84=1,SUMIFS($R$5:$R$504,$D$5:$D$504,D84,$AU$5:$AU$504,1),"")</f>
        <v/>
      </c>
    </row>
    <row r="85">
      <c r="A85" s="20" t="str">
        <f>IF(AG85=1,ROW()-4,"")</f>
        <v/>
      </c>
      <c r="B85" s="21" t="n"/>
      <c r="C85" s="22" t="n"/>
      <c r="D85" s="21" t="n"/>
      <c r="E85" s="22" t="n"/>
      <c r="F85" s="23" t="n"/>
      <c r="G85" s="23" t="n"/>
      <c r="H85" s="23" t="n"/>
      <c r="I85" s="24" t="n"/>
      <c r="J85" s="25" t="n"/>
      <c r="K85" s="25" t="n"/>
      <c r="L85" s="25" t="n"/>
      <c r="M85" s="25" t="n"/>
      <c r="N85" s="26" t="n"/>
      <c r="O85" s="26" t="n"/>
      <c r="P85" s="27" t="str">
        <f>IF(OR(J85="",K85="",I85="",AF85=0,AD85=""),"",(K85-J85)*AF85*I85*AD85*AE85)</f>
        <v/>
      </c>
      <c r="Q85" s="26" t="n"/>
      <c r="R85" s="28" t="str">
        <f>IF(Q85&lt;&gt;"",Q85,IF(P85="","",P85-N(N85)+N(O85)))</f>
        <v/>
      </c>
      <c r="S85" s="27" t="str">
        <f>IF(OR(L85="",J85="",I85="",AD85=""),"",ABS(J85-L85)*I85*AD85*AE85)</f>
        <v/>
      </c>
      <c r="T85" s="29" t="str">
        <f>IF(OR(R85="",S85="",S85=0),"",R85/S85)</f>
        <v/>
      </c>
      <c r="U85" s="20" t="str">
        <f>IF(R85="","",IF(R85&gt;0,"Ganadora",IF(R85&lt;0,"Perdedora","BE")))</f>
        <v/>
      </c>
      <c r="V85" s="23" t="n"/>
      <c r="W85" s="23" t="n"/>
      <c r="X85" s="23" t="n"/>
      <c r="Y85" s="23" t="n"/>
      <c r="Z85" s="23" t="n"/>
      <c r="AA85" s="23" t="n"/>
      <c r="AB85" s="30" t="n"/>
      <c r="AC85" s="1" t="n"/>
      <c r="AD85" s="1" t="str">
        <f>IF(G85="","",IFERROR(INDEX('Listas'!$N$6:$N$35,MATCH(G85,'Listas'!$M$6:$M$35,0)),""))</f>
        <v/>
      </c>
      <c r="AE85">
        <f>IF(G85="",1,IFERROR(INDEX('Listas'!$P$6:$P$35,MATCH(G85,'Listas'!$M$6:$M$35,0)),1))</f>
        <v>1</v>
      </c>
      <c r="AF85">
        <f>IF(H85="Compra",1,IF(H85="Venta",-1,0))</f>
        <v>0</v>
      </c>
      <c r="AG85">
        <f>IF(AND(D85&lt;&gt;"",ISNUMBER(R85)),1,0)</f>
        <v>0</v>
      </c>
      <c r="AH85">
        <f>IF(AG85=0,0,IF(OR('Panel'!$D$5="Todas las cuentas",'Panel'!$D$5="",F85='Panel'!$D$5),1,0))</f>
        <v>0</v>
      </c>
      <c r="AI85">
        <f>IF(AH85=0,0,IF(AND(OR('Panel'!$G$5="",D85&gt;='Panel'!$G$5),OR('Panel'!$J$5="",D85&lt;='Panel'!$J$5)),1,0))</f>
        <v>0</v>
      </c>
      <c r="AJ85">
        <f>IF(AI85=1,R85,0)</f>
        <v>0</v>
      </c>
      <c r="AK85" t="str">
        <f>IF(AI85=1,'Panel'!$AB$4+SUM($AJ$5:AJ85),"")</f>
        <v/>
      </c>
      <c r="AL85">
        <f>IF(AI85=0,N(AL84),IF(R85&lt;0,N(AL84)+1,0))</f>
        <v>1</v>
      </c>
      <c r="AM85">
        <f>IF(AI85=0,N(AM84),IF(R85&gt;0,N(AM84)+1,0))</f>
        <v>0</v>
      </c>
      <c r="AN85">
        <f>IF(AI85=1,MAX('Panel'!$AB$4,N(AN84),AK85),N(AN84))</f>
        <v>21371.061500000033</v>
      </c>
      <c r="AO85">
        <f>IF(AI85=1,AN85-AK85,0)</f>
        <v>0</v>
      </c>
      <c r="AP85">
        <f>IF(AND(AI85=1,AN85&gt;0),AO85/AN85,0)</f>
        <v>0</v>
      </c>
      <c r="AQ85" t="str">
        <f>IF(AI85=1,SUM($AI$5:AI85),"")</f>
        <v/>
      </c>
      <c r="AR85" t="str">
        <f>IF(AI85=1,IF(COUNTIFS($D$5:D85,D85,$AI$5:AI85,1)=1,SUMIFS($AJ$5:$AJ$504,$D$5:$D$504,D85),""),"")</f>
        <v/>
      </c>
      <c r="AS85" t="str">
        <f>IF(AG85=1,WEEKDAY(D85,2),"")</f>
        <v/>
      </c>
      <c r="AT85" s="31" t="str">
        <f>IF(AG85=1,DATE(YEAR(D85),MONTH(D85),1),"")</f>
        <v/>
      </c>
      <c r="AU85">
        <f>IF(AG85=0,0,IF(AND(OR('Prop challenge'!$D$7="",F85='Prop challenge'!$D$7),OR('Prop challenge'!$D$9="",D85&gt;='Prop challenge'!$D$9)),1,0))</f>
        <v>0</v>
      </c>
      <c r="AV85">
        <f>IF(AU85=1,IF(COUNTIFS($D$5:D85,D85,$AU$5:AU85,1)=1,1,0),0)</f>
        <v>0</v>
      </c>
      <c r="AW85" t="str">
        <f>IF(AV85=1,SUM($AV$5:AV85),"")</f>
        <v/>
      </c>
      <c r="AX85" t="str">
        <f>IF(AV85=1,SUMIFS($R$5:$R$504,$D$5:$D$504,D85,$AU$5:$AU$504,1),"")</f>
        <v/>
      </c>
    </row>
    <row r="86">
      <c r="A86" s="20" t="str">
        <f>IF(AG86=1,ROW()-4,"")</f>
        <v/>
      </c>
      <c r="B86" s="21" t="n"/>
      <c r="C86" s="22" t="n"/>
      <c r="D86" s="21" t="n"/>
      <c r="E86" s="22" t="n"/>
      <c r="F86" s="23" t="n"/>
      <c r="G86" s="23" t="n"/>
      <c r="H86" s="23" t="n"/>
      <c r="I86" s="24" t="n"/>
      <c r="J86" s="25" t="n"/>
      <c r="K86" s="25" t="n"/>
      <c r="L86" s="25" t="n"/>
      <c r="M86" s="25" t="n"/>
      <c r="N86" s="26" t="n"/>
      <c r="O86" s="26" t="n"/>
      <c r="P86" s="27" t="str">
        <f>IF(OR(J86="",K86="",I86="",AF86=0,AD86=""),"",(K86-J86)*AF86*I86*AD86*AE86)</f>
        <v/>
      </c>
      <c r="Q86" s="26" t="n"/>
      <c r="R86" s="28" t="str">
        <f>IF(Q86&lt;&gt;"",Q86,IF(P86="","",P86-N(N86)+N(O86)))</f>
        <v/>
      </c>
      <c r="S86" s="27" t="str">
        <f>IF(OR(L86="",J86="",I86="",AD86=""),"",ABS(J86-L86)*I86*AD86*AE86)</f>
        <v/>
      </c>
      <c r="T86" s="29" t="str">
        <f>IF(OR(R86="",S86="",S86=0),"",R86/S86)</f>
        <v/>
      </c>
      <c r="U86" s="20" t="str">
        <f>IF(R86="","",IF(R86&gt;0,"Ganadora",IF(R86&lt;0,"Perdedora","BE")))</f>
        <v/>
      </c>
      <c r="V86" s="23" t="n"/>
      <c r="W86" s="23" t="n"/>
      <c r="X86" s="23" t="n"/>
      <c r="Y86" s="23" t="n"/>
      <c r="Z86" s="23" t="n"/>
      <c r="AA86" s="23" t="n"/>
      <c r="AB86" s="30" t="n"/>
      <c r="AC86" s="1" t="n"/>
      <c r="AD86" s="1" t="str">
        <f>IF(G86="","",IFERROR(INDEX('Listas'!$N$6:$N$35,MATCH(G86,'Listas'!$M$6:$M$35,0)),""))</f>
        <v/>
      </c>
      <c r="AE86">
        <f>IF(G86="",1,IFERROR(INDEX('Listas'!$P$6:$P$35,MATCH(G86,'Listas'!$M$6:$M$35,0)),1))</f>
        <v>1</v>
      </c>
      <c r="AF86">
        <f>IF(H86="Compra",1,IF(H86="Venta",-1,0))</f>
        <v>0</v>
      </c>
      <c r="AG86">
        <f>IF(AND(D86&lt;&gt;"",ISNUMBER(R86)),1,0)</f>
        <v>0</v>
      </c>
      <c r="AH86">
        <f>IF(AG86=0,0,IF(OR('Panel'!$D$5="Todas las cuentas",'Panel'!$D$5="",F86='Panel'!$D$5),1,0))</f>
        <v>0</v>
      </c>
      <c r="AI86">
        <f>IF(AH86=0,0,IF(AND(OR('Panel'!$G$5="",D86&gt;='Panel'!$G$5),OR('Panel'!$J$5="",D86&lt;='Panel'!$J$5)),1,0))</f>
        <v>0</v>
      </c>
      <c r="AJ86">
        <f>IF(AI86=1,R86,0)</f>
        <v>0</v>
      </c>
      <c r="AK86" t="str">
        <f>IF(AI86=1,'Panel'!$AB$4+SUM($AJ$5:AJ86),"")</f>
        <v/>
      </c>
      <c r="AL86">
        <f>IF(AI86=0,N(AL85),IF(R86&lt;0,N(AL85)+1,0))</f>
        <v>1</v>
      </c>
      <c r="AM86">
        <f>IF(AI86=0,N(AM85),IF(R86&gt;0,N(AM85)+1,0))</f>
        <v>0</v>
      </c>
      <c r="AN86">
        <f>IF(AI86=1,MAX('Panel'!$AB$4,N(AN85),AK86),N(AN85))</f>
        <v>21371.061500000033</v>
      </c>
      <c r="AO86">
        <f>IF(AI86=1,AN86-AK86,0)</f>
        <v>0</v>
      </c>
      <c r="AP86">
        <f>IF(AND(AI86=1,AN86&gt;0),AO86/AN86,0)</f>
        <v>0</v>
      </c>
      <c r="AQ86" t="str">
        <f>IF(AI86=1,SUM($AI$5:AI86),"")</f>
        <v/>
      </c>
      <c r="AR86" t="str">
        <f>IF(AI86=1,IF(COUNTIFS($D$5:D86,D86,$AI$5:AI86,1)=1,SUMIFS($AJ$5:$AJ$504,$D$5:$D$504,D86),""),"")</f>
        <v/>
      </c>
      <c r="AS86" t="str">
        <f>IF(AG86=1,WEEKDAY(D86,2),"")</f>
        <v/>
      </c>
      <c r="AT86" s="31" t="str">
        <f>IF(AG86=1,DATE(YEAR(D86),MONTH(D86),1),"")</f>
        <v/>
      </c>
      <c r="AU86">
        <f>IF(AG86=0,0,IF(AND(OR('Prop challenge'!$D$7="",F86='Prop challenge'!$D$7),OR('Prop challenge'!$D$9="",D86&gt;='Prop challenge'!$D$9)),1,0))</f>
        <v>0</v>
      </c>
      <c r="AV86">
        <f>IF(AU86=1,IF(COUNTIFS($D$5:D86,D86,$AU$5:AU86,1)=1,1,0),0)</f>
        <v>0</v>
      </c>
      <c r="AW86" t="str">
        <f>IF(AV86=1,SUM($AV$5:AV86),"")</f>
        <v/>
      </c>
      <c r="AX86" t="str">
        <f>IF(AV86=1,SUMIFS($R$5:$R$504,$D$5:$D$504,D86,$AU$5:$AU$504,1),"")</f>
        <v/>
      </c>
    </row>
    <row r="87">
      <c r="A87" s="20" t="str">
        <f>IF(AG87=1,ROW()-4,"")</f>
        <v/>
      </c>
      <c r="B87" s="21" t="n"/>
      <c r="C87" s="22" t="n"/>
      <c r="D87" s="21" t="n"/>
      <c r="E87" s="22" t="n"/>
      <c r="F87" s="23" t="n"/>
      <c r="G87" s="23" t="n"/>
      <c r="H87" s="23" t="n"/>
      <c r="I87" s="24" t="n"/>
      <c r="J87" s="25" t="n"/>
      <c r="K87" s="25" t="n"/>
      <c r="L87" s="25" t="n"/>
      <c r="M87" s="25" t="n"/>
      <c r="N87" s="26" t="n"/>
      <c r="O87" s="26" t="n"/>
      <c r="P87" s="27" t="str">
        <f>IF(OR(J87="",K87="",I87="",AF87=0,AD87=""),"",(K87-J87)*AF87*I87*AD87*AE87)</f>
        <v/>
      </c>
      <c r="Q87" s="26" t="n"/>
      <c r="R87" s="28" t="str">
        <f>IF(Q87&lt;&gt;"",Q87,IF(P87="","",P87-N(N87)+N(O87)))</f>
        <v/>
      </c>
      <c r="S87" s="27" t="str">
        <f>IF(OR(L87="",J87="",I87="",AD87=""),"",ABS(J87-L87)*I87*AD87*AE87)</f>
        <v/>
      </c>
      <c r="T87" s="29" t="str">
        <f>IF(OR(R87="",S87="",S87=0),"",R87/S87)</f>
        <v/>
      </c>
      <c r="U87" s="20" t="str">
        <f>IF(R87="","",IF(R87&gt;0,"Ganadora",IF(R87&lt;0,"Perdedora","BE")))</f>
        <v/>
      </c>
      <c r="V87" s="23" t="n"/>
      <c r="W87" s="23" t="n"/>
      <c r="X87" s="23" t="n"/>
      <c r="Y87" s="23" t="n"/>
      <c r="Z87" s="23" t="n"/>
      <c r="AA87" s="23" t="n"/>
      <c r="AB87" s="30" t="n"/>
      <c r="AC87" s="1" t="n"/>
      <c r="AD87" s="1" t="str">
        <f>IF(G87="","",IFERROR(INDEX('Listas'!$N$6:$N$35,MATCH(G87,'Listas'!$M$6:$M$35,0)),""))</f>
        <v/>
      </c>
      <c r="AE87">
        <f>IF(G87="",1,IFERROR(INDEX('Listas'!$P$6:$P$35,MATCH(G87,'Listas'!$M$6:$M$35,0)),1))</f>
        <v>1</v>
      </c>
      <c r="AF87">
        <f>IF(H87="Compra",1,IF(H87="Venta",-1,0))</f>
        <v>0</v>
      </c>
      <c r="AG87">
        <f>IF(AND(D87&lt;&gt;"",ISNUMBER(R87)),1,0)</f>
        <v>0</v>
      </c>
      <c r="AH87">
        <f>IF(AG87=0,0,IF(OR('Panel'!$D$5="Todas las cuentas",'Panel'!$D$5="",F87='Panel'!$D$5),1,0))</f>
        <v>0</v>
      </c>
      <c r="AI87">
        <f>IF(AH87=0,0,IF(AND(OR('Panel'!$G$5="",D87&gt;='Panel'!$G$5),OR('Panel'!$J$5="",D87&lt;='Panel'!$J$5)),1,0))</f>
        <v>0</v>
      </c>
      <c r="AJ87">
        <f>IF(AI87=1,R87,0)</f>
        <v>0</v>
      </c>
      <c r="AK87" t="str">
        <f>IF(AI87=1,'Panel'!$AB$4+SUM($AJ$5:AJ87),"")</f>
        <v/>
      </c>
      <c r="AL87">
        <f>IF(AI87=0,N(AL86),IF(R87&lt;0,N(AL86)+1,0))</f>
        <v>1</v>
      </c>
      <c r="AM87">
        <f>IF(AI87=0,N(AM86),IF(R87&gt;0,N(AM86)+1,0))</f>
        <v>0</v>
      </c>
      <c r="AN87">
        <f>IF(AI87=1,MAX('Panel'!$AB$4,N(AN86),AK87),N(AN86))</f>
        <v>21371.061500000033</v>
      </c>
      <c r="AO87">
        <f>IF(AI87=1,AN87-AK87,0)</f>
        <v>0</v>
      </c>
      <c r="AP87">
        <f>IF(AND(AI87=1,AN87&gt;0),AO87/AN87,0)</f>
        <v>0</v>
      </c>
      <c r="AQ87" t="str">
        <f>IF(AI87=1,SUM($AI$5:AI87),"")</f>
        <v/>
      </c>
      <c r="AR87" t="str">
        <f>IF(AI87=1,IF(COUNTIFS($D$5:D87,D87,$AI$5:AI87,1)=1,SUMIFS($AJ$5:$AJ$504,$D$5:$D$504,D87),""),"")</f>
        <v/>
      </c>
      <c r="AS87" t="str">
        <f>IF(AG87=1,WEEKDAY(D87,2),"")</f>
        <v/>
      </c>
      <c r="AT87" s="31" t="str">
        <f>IF(AG87=1,DATE(YEAR(D87),MONTH(D87),1),"")</f>
        <v/>
      </c>
      <c r="AU87">
        <f>IF(AG87=0,0,IF(AND(OR('Prop challenge'!$D$7="",F87='Prop challenge'!$D$7),OR('Prop challenge'!$D$9="",D87&gt;='Prop challenge'!$D$9)),1,0))</f>
        <v>0</v>
      </c>
      <c r="AV87">
        <f>IF(AU87=1,IF(COUNTIFS($D$5:D87,D87,$AU$5:AU87,1)=1,1,0),0)</f>
        <v>0</v>
      </c>
      <c r="AW87" t="str">
        <f>IF(AV87=1,SUM($AV$5:AV87),"")</f>
        <v/>
      </c>
      <c r="AX87" t="str">
        <f>IF(AV87=1,SUMIFS($R$5:$R$504,$D$5:$D$504,D87,$AU$5:$AU$504,1),"")</f>
        <v/>
      </c>
    </row>
    <row r="88">
      <c r="A88" s="20" t="str">
        <f>IF(AG88=1,ROW()-4,"")</f>
        <v/>
      </c>
      <c r="B88" s="21" t="n"/>
      <c r="C88" s="22" t="n"/>
      <c r="D88" s="21" t="n"/>
      <c r="E88" s="22" t="n"/>
      <c r="F88" s="23" t="n"/>
      <c r="G88" s="23" t="n"/>
      <c r="H88" s="23" t="n"/>
      <c r="I88" s="24" t="n"/>
      <c r="J88" s="25" t="n"/>
      <c r="K88" s="25" t="n"/>
      <c r="L88" s="25" t="n"/>
      <c r="M88" s="25" t="n"/>
      <c r="N88" s="26" t="n"/>
      <c r="O88" s="26" t="n"/>
      <c r="P88" s="27" t="str">
        <f>IF(OR(J88="",K88="",I88="",AF88=0,AD88=""),"",(K88-J88)*AF88*I88*AD88*AE88)</f>
        <v/>
      </c>
      <c r="Q88" s="26" t="n"/>
      <c r="R88" s="28" t="str">
        <f>IF(Q88&lt;&gt;"",Q88,IF(P88="","",P88-N(N88)+N(O88)))</f>
        <v/>
      </c>
      <c r="S88" s="27" t="str">
        <f>IF(OR(L88="",J88="",I88="",AD88=""),"",ABS(J88-L88)*I88*AD88*AE88)</f>
        <v/>
      </c>
      <c r="T88" s="29" t="str">
        <f>IF(OR(R88="",S88="",S88=0),"",R88/S88)</f>
        <v/>
      </c>
      <c r="U88" s="20" t="str">
        <f>IF(R88="","",IF(R88&gt;0,"Ganadora",IF(R88&lt;0,"Perdedora","BE")))</f>
        <v/>
      </c>
      <c r="V88" s="23" t="n"/>
      <c r="W88" s="23" t="n"/>
      <c r="X88" s="23" t="n"/>
      <c r="Y88" s="23" t="n"/>
      <c r="Z88" s="23" t="n"/>
      <c r="AA88" s="23" t="n"/>
      <c r="AB88" s="30" t="n"/>
      <c r="AC88" s="1" t="n"/>
      <c r="AD88" s="1" t="str">
        <f>IF(G88="","",IFERROR(INDEX('Listas'!$N$6:$N$35,MATCH(G88,'Listas'!$M$6:$M$35,0)),""))</f>
        <v/>
      </c>
      <c r="AE88">
        <f>IF(G88="",1,IFERROR(INDEX('Listas'!$P$6:$P$35,MATCH(G88,'Listas'!$M$6:$M$35,0)),1))</f>
        <v>1</v>
      </c>
      <c r="AF88">
        <f>IF(H88="Compra",1,IF(H88="Venta",-1,0))</f>
        <v>0</v>
      </c>
      <c r="AG88">
        <f>IF(AND(D88&lt;&gt;"",ISNUMBER(R88)),1,0)</f>
        <v>0</v>
      </c>
      <c r="AH88">
        <f>IF(AG88=0,0,IF(OR('Panel'!$D$5="Todas las cuentas",'Panel'!$D$5="",F88='Panel'!$D$5),1,0))</f>
        <v>0</v>
      </c>
      <c r="AI88">
        <f>IF(AH88=0,0,IF(AND(OR('Panel'!$G$5="",D88&gt;='Panel'!$G$5),OR('Panel'!$J$5="",D88&lt;='Panel'!$J$5)),1,0))</f>
        <v>0</v>
      </c>
      <c r="AJ88">
        <f>IF(AI88=1,R88,0)</f>
        <v>0</v>
      </c>
      <c r="AK88" t="str">
        <f>IF(AI88=1,'Panel'!$AB$4+SUM($AJ$5:AJ88),"")</f>
        <v/>
      </c>
      <c r="AL88">
        <f>IF(AI88=0,N(AL87),IF(R88&lt;0,N(AL87)+1,0))</f>
        <v>1</v>
      </c>
      <c r="AM88">
        <f>IF(AI88=0,N(AM87),IF(R88&gt;0,N(AM87)+1,0))</f>
        <v>0</v>
      </c>
      <c r="AN88">
        <f>IF(AI88=1,MAX('Panel'!$AB$4,N(AN87),AK88),N(AN87))</f>
        <v>21371.061500000033</v>
      </c>
      <c r="AO88">
        <f>IF(AI88=1,AN88-AK88,0)</f>
        <v>0</v>
      </c>
      <c r="AP88">
        <f>IF(AND(AI88=1,AN88&gt;0),AO88/AN88,0)</f>
        <v>0</v>
      </c>
      <c r="AQ88" t="str">
        <f>IF(AI88=1,SUM($AI$5:AI88),"")</f>
        <v/>
      </c>
      <c r="AR88" t="str">
        <f>IF(AI88=1,IF(COUNTIFS($D$5:D88,D88,$AI$5:AI88,1)=1,SUMIFS($AJ$5:$AJ$504,$D$5:$D$504,D88),""),"")</f>
        <v/>
      </c>
      <c r="AS88" t="str">
        <f>IF(AG88=1,WEEKDAY(D88,2),"")</f>
        <v/>
      </c>
      <c r="AT88" s="31" t="str">
        <f>IF(AG88=1,DATE(YEAR(D88),MONTH(D88),1),"")</f>
        <v/>
      </c>
      <c r="AU88">
        <f>IF(AG88=0,0,IF(AND(OR('Prop challenge'!$D$7="",F88='Prop challenge'!$D$7),OR('Prop challenge'!$D$9="",D88&gt;='Prop challenge'!$D$9)),1,0))</f>
        <v>0</v>
      </c>
      <c r="AV88">
        <f>IF(AU88=1,IF(COUNTIFS($D$5:D88,D88,$AU$5:AU88,1)=1,1,0),0)</f>
        <v>0</v>
      </c>
      <c r="AW88" t="str">
        <f>IF(AV88=1,SUM($AV$5:AV88),"")</f>
        <v/>
      </c>
      <c r="AX88" t="str">
        <f>IF(AV88=1,SUMIFS($R$5:$R$504,$D$5:$D$504,D88,$AU$5:$AU$504,1),"")</f>
        <v/>
      </c>
    </row>
    <row r="89">
      <c r="A89" s="20" t="str">
        <f>IF(AG89=1,ROW()-4,"")</f>
        <v/>
      </c>
      <c r="B89" s="21" t="n"/>
      <c r="C89" s="22" t="n"/>
      <c r="D89" s="21" t="n"/>
      <c r="E89" s="22" t="n"/>
      <c r="F89" s="23" t="n"/>
      <c r="G89" s="23" t="n"/>
      <c r="H89" s="23" t="n"/>
      <c r="I89" s="24" t="n"/>
      <c r="J89" s="25" t="n"/>
      <c r="K89" s="25" t="n"/>
      <c r="L89" s="25" t="n"/>
      <c r="M89" s="25" t="n"/>
      <c r="N89" s="26" t="n"/>
      <c r="O89" s="26" t="n"/>
      <c r="P89" s="27" t="str">
        <f>IF(OR(J89="",K89="",I89="",AF89=0,AD89=""),"",(K89-J89)*AF89*I89*AD89*AE89)</f>
        <v/>
      </c>
      <c r="Q89" s="26" t="n"/>
      <c r="R89" s="28" t="str">
        <f>IF(Q89&lt;&gt;"",Q89,IF(P89="","",P89-N(N89)+N(O89)))</f>
        <v/>
      </c>
      <c r="S89" s="27" t="str">
        <f>IF(OR(L89="",J89="",I89="",AD89=""),"",ABS(J89-L89)*I89*AD89*AE89)</f>
        <v/>
      </c>
      <c r="T89" s="29" t="str">
        <f>IF(OR(R89="",S89="",S89=0),"",R89/S89)</f>
        <v/>
      </c>
      <c r="U89" s="20" t="str">
        <f>IF(R89="","",IF(R89&gt;0,"Ganadora",IF(R89&lt;0,"Perdedora","BE")))</f>
        <v/>
      </c>
      <c r="V89" s="23" t="n"/>
      <c r="W89" s="23" t="n"/>
      <c r="X89" s="23" t="n"/>
      <c r="Y89" s="23" t="n"/>
      <c r="Z89" s="23" t="n"/>
      <c r="AA89" s="23" t="n"/>
      <c r="AB89" s="30" t="n"/>
      <c r="AC89" s="1" t="n"/>
      <c r="AD89" s="1" t="str">
        <f>IF(G89="","",IFERROR(INDEX('Listas'!$N$6:$N$35,MATCH(G89,'Listas'!$M$6:$M$35,0)),""))</f>
        <v/>
      </c>
      <c r="AE89">
        <f>IF(G89="",1,IFERROR(INDEX('Listas'!$P$6:$P$35,MATCH(G89,'Listas'!$M$6:$M$35,0)),1))</f>
        <v>1</v>
      </c>
      <c r="AF89">
        <f>IF(H89="Compra",1,IF(H89="Venta",-1,0))</f>
        <v>0</v>
      </c>
      <c r="AG89">
        <f>IF(AND(D89&lt;&gt;"",ISNUMBER(R89)),1,0)</f>
        <v>0</v>
      </c>
      <c r="AH89">
        <f>IF(AG89=0,0,IF(OR('Panel'!$D$5="Todas las cuentas",'Panel'!$D$5="",F89='Panel'!$D$5),1,0))</f>
        <v>0</v>
      </c>
      <c r="AI89">
        <f>IF(AH89=0,0,IF(AND(OR('Panel'!$G$5="",D89&gt;='Panel'!$G$5),OR('Panel'!$J$5="",D89&lt;='Panel'!$J$5)),1,0))</f>
        <v>0</v>
      </c>
      <c r="AJ89">
        <f>IF(AI89=1,R89,0)</f>
        <v>0</v>
      </c>
      <c r="AK89" t="str">
        <f>IF(AI89=1,'Panel'!$AB$4+SUM($AJ$5:AJ89),"")</f>
        <v/>
      </c>
      <c r="AL89">
        <f>IF(AI89=0,N(AL88),IF(R89&lt;0,N(AL88)+1,0))</f>
        <v>1</v>
      </c>
      <c r="AM89">
        <f>IF(AI89=0,N(AM88),IF(R89&gt;0,N(AM88)+1,0))</f>
        <v>0</v>
      </c>
      <c r="AN89">
        <f>IF(AI89=1,MAX('Panel'!$AB$4,N(AN88),AK89),N(AN88))</f>
        <v>21371.061500000033</v>
      </c>
      <c r="AO89">
        <f>IF(AI89=1,AN89-AK89,0)</f>
        <v>0</v>
      </c>
      <c r="AP89">
        <f>IF(AND(AI89=1,AN89&gt;0),AO89/AN89,0)</f>
        <v>0</v>
      </c>
      <c r="AQ89" t="str">
        <f>IF(AI89=1,SUM($AI$5:AI89),"")</f>
        <v/>
      </c>
      <c r="AR89" t="str">
        <f>IF(AI89=1,IF(COUNTIFS($D$5:D89,D89,$AI$5:AI89,1)=1,SUMIFS($AJ$5:$AJ$504,$D$5:$D$504,D89),""),"")</f>
        <v/>
      </c>
      <c r="AS89" t="str">
        <f>IF(AG89=1,WEEKDAY(D89,2),"")</f>
        <v/>
      </c>
      <c r="AT89" s="31" t="str">
        <f>IF(AG89=1,DATE(YEAR(D89),MONTH(D89),1),"")</f>
        <v/>
      </c>
      <c r="AU89">
        <f>IF(AG89=0,0,IF(AND(OR('Prop challenge'!$D$7="",F89='Prop challenge'!$D$7),OR('Prop challenge'!$D$9="",D89&gt;='Prop challenge'!$D$9)),1,0))</f>
        <v>0</v>
      </c>
      <c r="AV89">
        <f>IF(AU89=1,IF(COUNTIFS($D$5:D89,D89,$AU$5:AU89,1)=1,1,0),0)</f>
        <v>0</v>
      </c>
      <c r="AW89" t="str">
        <f>IF(AV89=1,SUM($AV$5:AV89),"")</f>
        <v/>
      </c>
      <c r="AX89" t="str">
        <f>IF(AV89=1,SUMIFS($R$5:$R$504,$D$5:$D$504,D89,$AU$5:$AU$504,1),"")</f>
        <v/>
      </c>
    </row>
    <row r="90">
      <c r="A90" s="20" t="str">
        <f>IF(AG90=1,ROW()-4,"")</f>
        <v/>
      </c>
      <c r="B90" s="21" t="n"/>
      <c r="C90" s="22" t="n"/>
      <c r="D90" s="21" t="n"/>
      <c r="E90" s="22" t="n"/>
      <c r="F90" s="23" t="n"/>
      <c r="G90" s="23" t="n"/>
      <c r="H90" s="23" t="n"/>
      <c r="I90" s="24" t="n"/>
      <c r="J90" s="25" t="n"/>
      <c r="K90" s="25" t="n"/>
      <c r="L90" s="25" t="n"/>
      <c r="M90" s="25" t="n"/>
      <c r="N90" s="26" t="n"/>
      <c r="O90" s="26" t="n"/>
      <c r="P90" s="27" t="str">
        <f>IF(OR(J90="",K90="",I90="",AF90=0,AD90=""),"",(K90-J90)*AF90*I90*AD90*AE90)</f>
        <v/>
      </c>
      <c r="Q90" s="26" t="n"/>
      <c r="R90" s="28" t="str">
        <f>IF(Q90&lt;&gt;"",Q90,IF(P90="","",P90-N(N90)+N(O90)))</f>
        <v/>
      </c>
      <c r="S90" s="27" t="str">
        <f>IF(OR(L90="",J90="",I90="",AD90=""),"",ABS(J90-L90)*I90*AD90*AE90)</f>
        <v/>
      </c>
      <c r="T90" s="29" t="str">
        <f>IF(OR(R90="",S90="",S90=0),"",R90/S90)</f>
        <v/>
      </c>
      <c r="U90" s="20" t="str">
        <f>IF(R90="","",IF(R90&gt;0,"Ganadora",IF(R90&lt;0,"Perdedora","BE")))</f>
        <v/>
      </c>
      <c r="V90" s="23" t="n"/>
      <c r="W90" s="23" t="n"/>
      <c r="X90" s="23" t="n"/>
      <c r="Y90" s="23" t="n"/>
      <c r="Z90" s="23" t="n"/>
      <c r="AA90" s="23" t="n"/>
      <c r="AB90" s="30" t="n"/>
      <c r="AC90" s="1" t="n"/>
      <c r="AD90" s="1" t="str">
        <f>IF(G90="","",IFERROR(INDEX('Listas'!$N$6:$N$35,MATCH(G90,'Listas'!$M$6:$M$35,0)),""))</f>
        <v/>
      </c>
      <c r="AE90">
        <f>IF(G90="",1,IFERROR(INDEX('Listas'!$P$6:$P$35,MATCH(G90,'Listas'!$M$6:$M$35,0)),1))</f>
        <v>1</v>
      </c>
      <c r="AF90">
        <f>IF(H90="Compra",1,IF(H90="Venta",-1,0))</f>
        <v>0</v>
      </c>
      <c r="AG90">
        <f>IF(AND(D90&lt;&gt;"",ISNUMBER(R90)),1,0)</f>
        <v>0</v>
      </c>
      <c r="AH90">
        <f>IF(AG90=0,0,IF(OR('Panel'!$D$5="Todas las cuentas",'Panel'!$D$5="",F90='Panel'!$D$5),1,0))</f>
        <v>0</v>
      </c>
      <c r="AI90">
        <f>IF(AH90=0,0,IF(AND(OR('Panel'!$G$5="",D90&gt;='Panel'!$G$5),OR('Panel'!$J$5="",D90&lt;='Panel'!$J$5)),1,0))</f>
        <v>0</v>
      </c>
      <c r="AJ90">
        <f>IF(AI90=1,R90,0)</f>
        <v>0</v>
      </c>
      <c r="AK90" t="str">
        <f>IF(AI90=1,'Panel'!$AB$4+SUM($AJ$5:AJ90),"")</f>
        <v/>
      </c>
      <c r="AL90">
        <f>IF(AI90=0,N(AL89),IF(R90&lt;0,N(AL89)+1,0))</f>
        <v>1</v>
      </c>
      <c r="AM90">
        <f>IF(AI90=0,N(AM89),IF(R90&gt;0,N(AM89)+1,0))</f>
        <v>0</v>
      </c>
      <c r="AN90">
        <f>IF(AI90=1,MAX('Panel'!$AB$4,N(AN89),AK90),N(AN89))</f>
        <v>21371.061500000033</v>
      </c>
      <c r="AO90">
        <f>IF(AI90=1,AN90-AK90,0)</f>
        <v>0</v>
      </c>
      <c r="AP90">
        <f>IF(AND(AI90=1,AN90&gt;0),AO90/AN90,0)</f>
        <v>0</v>
      </c>
      <c r="AQ90" t="str">
        <f>IF(AI90=1,SUM($AI$5:AI90),"")</f>
        <v/>
      </c>
      <c r="AR90" t="str">
        <f>IF(AI90=1,IF(COUNTIFS($D$5:D90,D90,$AI$5:AI90,1)=1,SUMIFS($AJ$5:$AJ$504,$D$5:$D$504,D90),""),"")</f>
        <v/>
      </c>
      <c r="AS90" t="str">
        <f>IF(AG90=1,WEEKDAY(D90,2),"")</f>
        <v/>
      </c>
      <c r="AT90" s="31" t="str">
        <f>IF(AG90=1,DATE(YEAR(D90),MONTH(D90),1),"")</f>
        <v/>
      </c>
      <c r="AU90">
        <f>IF(AG90=0,0,IF(AND(OR('Prop challenge'!$D$7="",F90='Prop challenge'!$D$7),OR('Prop challenge'!$D$9="",D90&gt;='Prop challenge'!$D$9)),1,0))</f>
        <v>0</v>
      </c>
      <c r="AV90">
        <f>IF(AU90=1,IF(COUNTIFS($D$5:D90,D90,$AU$5:AU90,1)=1,1,0),0)</f>
        <v>0</v>
      </c>
      <c r="AW90" t="str">
        <f>IF(AV90=1,SUM($AV$5:AV90),"")</f>
        <v/>
      </c>
      <c r="AX90" t="str">
        <f>IF(AV90=1,SUMIFS($R$5:$R$504,$D$5:$D$504,D90,$AU$5:$AU$504,1),"")</f>
        <v/>
      </c>
    </row>
    <row r="91">
      <c r="A91" s="20" t="str">
        <f>IF(AG91=1,ROW()-4,"")</f>
        <v/>
      </c>
      <c r="B91" s="21" t="n"/>
      <c r="C91" s="22" t="n"/>
      <c r="D91" s="21" t="n"/>
      <c r="E91" s="22" t="n"/>
      <c r="F91" s="23" t="n"/>
      <c r="G91" s="23" t="n"/>
      <c r="H91" s="23" t="n"/>
      <c r="I91" s="24" t="n"/>
      <c r="J91" s="25" t="n"/>
      <c r="K91" s="25" t="n"/>
      <c r="L91" s="25" t="n"/>
      <c r="M91" s="25" t="n"/>
      <c r="N91" s="26" t="n"/>
      <c r="O91" s="26" t="n"/>
      <c r="P91" s="27" t="str">
        <f>IF(OR(J91="",K91="",I91="",AF91=0,AD91=""),"",(K91-J91)*AF91*I91*AD91*AE91)</f>
        <v/>
      </c>
      <c r="Q91" s="26" t="n"/>
      <c r="R91" s="28" t="str">
        <f>IF(Q91&lt;&gt;"",Q91,IF(P91="","",P91-N(N91)+N(O91)))</f>
        <v/>
      </c>
      <c r="S91" s="27" t="str">
        <f>IF(OR(L91="",J91="",I91="",AD91=""),"",ABS(J91-L91)*I91*AD91*AE91)</f>
        <v/>
      </c>
      <c r="T91" s="29" t="str">
        <f>IF(OR(R91="",S91="",S91=0),"",R91/S91)</f>
        <v/>
      </c>
      <c r="U91" s="20" t="str">
        <f>IF(R91="","",IF(R91&gt;0,"Ganadora",IF(R91&lt;0,"Perdedora","BE")))</f>
        <v/>
      </c>
      <c r="V91" s="23" t="n"/>
      <c r="W91" s="23" t="n"/>
      <c r="X91" s="23" t="n"/>
      <c r="Y91" s="23" t="n"/>
      <c r="Z91" s="23" t="n"/>
      <c r="AA91" s="23" t="n"/>
      <c r="AB91" s="30" t="n"/>
      <c r="AC91" s="1" t="n"/>
      <c r="AD91" s="1" t="str">
        <f>IF(G91="","",IFERROR(INDEX('Listas'!$N$6:$N$35,MATCH(G91,'Listas'!$M$6:$M$35,0)),""))</f>
        <v/>
      </c>
      <c r="AE91">
        <f>IF(G91="",1,IFERROR(INDEX('Listas'!$P$6:$P$35,MATCH(G91,'Listas'!$M$6:$M$35,0)),1))</f>
        <v>1</v>
      </c>
      <c r="AF91">
        <f>IF(H91="Compra",1,IF(H91="Venta",-1,0))</f>
        <v>0</v>
      </c>
      <c r="AG91">
        <f>IF(AND(D91&lt;&gt;"",ISNUMBER(R91)),1,0)</f>
        <v>0</v>
      </c>
      <c r="AH91">
        <f>IF(AG91=0,0,IF(OR('Panel'!$D$5="Todas las cuentas",'Panel'!$D$5="",F91='Panel'!$D$5),1,0))</f>
        <v>0</v>
      </c>
      <c r="AI91">
        <f>IF(AH91=0,0,IF(AND(OR('Panel'!$G$5="",D91&gt;='Panel'!$G$5),OR('Panel'!$J$5="",D91&lt;='Panel'!$J$5)),1,0))</f>
        <v>0</v>
      </c>
      <c r="AJ91">
        <f>IF(AI91=1,R91,0)</f>
        <v>0</v>
      </c>
      <c r="AK91" t="str">
        <f>IF(AI91=1,'Panel'!$AB$4+SUM($AJ$5:AJ91),"")</f>
        <v/>
      </c>
      <c r="AL91">
        <f>IF(AI91=0,N(AL90),IF(R91&lt;0,N(AL90)+1,0))</f>
        <v>1</v>
      </c>
      <c r="AM91">
        <f>IF(AI91=0,N(AM90),IF(R91&gt;0,N(AM90)+1,0))</f>
        <v>0</v>
      </c>
      <c r="AN91">
        <f>IF(AI91=1,MAX('Panel'!$AB$4,N(AN90),AK91),N(AN90))</f>
        <v>21371.061500000033</v>
      </c>
      <c r="AO91">
        <f>IF(AI91=1,AN91-AK91,0)</f>
        <v>0</v>
      </c>
      <c r="AP91">
        <f>IF(AND(AI91=1,AN91&gt;0),AO91/AN91,0)</f>
        <v>0</v>
      </c>
      <c r="AQ91" t="str">
        <f>IF(AI91=1,SUM($AI$5:AI91),"")</f>
        <v/>
      </c>
      <c r="AR91" t="str">
        <f>IF(AI91=1,IF(COUNTIFS($D$5:D91,D91,$AI$5:AI91,1)=1,SUMIFS($AJ$5:$AJ$504,$D$5:$D$504,D91),""),"")</f>
        <v/>
      </c>
      <c r="AS91" t="str">
        <f>IF(AG91=1,WEEKDAY(D91,2),"")</f>
        <v/>
      </c>
      <c r="AT91" s="31" t="str">
        <f>IF(AG91=1,DATE(YEAR(D91),MONTH(D91),1),"")</f>
        <v/>
      </c>
      <c r="AU91">
        <f>IF(AG91=0,0,IF(AND(OR('Prop challenge'!$D$7="",F91='Prop challenge'!$D$7),OR('Prop challenge'!$D$9="",D91&gt;='Prop challenge'!$D$9)),1,0))</f>
        <v>0</v>
      </c>
      <c r="AV91">
        <f>IF(AU91=1,IF(COUNTIFS($D$5:D91,D91,$AU$5:AU91,1)=1,1,0),0)</f>
        <v>0</v>
      </c>
      <c r="AW91" t="str">
        <f>IF(AV91=1,SUM($AV$5:AV91),"")</f>
        <v/>
      </c>
      <c r="AX91" t="str">
        <f>IF(AV91=1,SUMIFS($R$5:$R$504,$D$5:$D$504,D91,$AU$5:$AU$504,1),"")</f>
        <v/>
      </c>
    </row>
    <row r="92">
      <c r="A92" s="20" t="str">
        <f>IF(AG92=1,ROW()-4,"")</f>
        <v/>
      </c>
      <c r="B92" s="21" t="n"/>
      <c r="C92" s="22" t="n"/>
      <c r="D92" s="21" t="n"/>
      <c r="E92" s="22" t="n"/>
      <c r="F92" s="23" t="n"/>
      <c r="G92" s="23" t="n"/>
      <c r="H92" s="23" t="n"/>
      <c r="I92" s="24" t="n"/>
      <c r="J92" s="25" t="n"/>
      <c r="K92" s="25" t="n"/>
      <c r="L92" s="25" t="n"/>
      <c r="M92" s="25" t="n"/>
      <c r="N92" s="26" t="n"/>
      <c r="O92" s="26" t="n"/>
      <c r="P92" s="27" t="str">
        <f>IF(OR(J92="",K92="",I92="",AF92=0,AD92=""),"",(K92-J92)*AF92*I92*AD92*AE92)</f>
        <v/>
      </c>
      <c r="Q92" s="26" t="n"/>
      <c r="R92" s="28" t="str">
        <f>IF(Q92&lt;&gt;"",Q92,IF(P92="","",P92-N(N92)+N(O92)))</f>
        <v/>
      </c>
      <c r="S92" s="27" t="str">
        <f>IF(OR(L92="",J92="",I92="",AD92=""),"",ABS(J92-L92)*I92*AD92*AE92)</f>
        <v/>
      </c>
      <c r="T92" s="29" t="str">
        <f>IF(OR(R92="",S92="",S92=0),"",R92/S92)</f>
        <v/>
      </c>
      <c r="U92" s="20" t="str">
        <f>IF(R92="","",IF(R92&gt;0,"Ganadora",IF(R92&lt;0,"Perdedora","BE")))</f>
        <v/>
      </c>
      <c r="V92" s="23" t="n"/>
      <c r="W92" s="23" t="n"/>
      <c r="X92" s="23" t="n"/>
      <c r="Y92" s="23" t="n"/>
      <c r="Z92" s="23" t="n"/>
      <c r="AA92" s="23" t="n"/>
      <c r="AB92" s="30" t="n"/>
      <c r="AC92" s="1" t="n"/>
      <c r="AD92" s="1" t="str">
        <f>IF(G92="","",IFERROR(INDEX('Listas'!$N$6:$N$35,MATCH(G92,'Listas'!$M$6:$M$35,0)),""))</f>
        <v/>
      </c>
      <c r="AE92">
        <f>IF(G92="",1,IFERROR(INDEX('Listas'!$P$6:$P$35,MATCH(G92,'Listas'!$M$6:$M$35,0)),1))</f>
        <v>1</v>
      </c>
      <c r="AF92">
        <f>IF(H92="Compra",1,IF(H92="Venta",-1,0))</f>
        <v>0</v>
      </c>
      <c r="AG92">
        <f>IF(AND(D92&lt;&gt;"",ISNUMBER(R92)),1,0)</f>
        <v>0</v>
      </c>
      <c r="AH92">
        <f>IF(AG92=0,0,IF(OR('Panel'!$D$5="Todas las cuentas",'Panel'!$D$5="",F92='Panel'!$D$5),1,0))</f>
        <v>0</v>
      </c>
      <c r="AI92">
        <f>IF(AH92=0,0,IF(AND(OR('Panel'!$G$5="",D92&gt;='Panel'!$G$5),OR('Panel'!$J$5="",D92&lt;='Panel'!$J$5)),1,0))</f>
        <v>0</v>
      </c>
      <c r="AJ92">
        <f>IF(AI92=1,R92,0)</f>
        <v>0</v>
      </c>
      <c r="AK92" t="str">
        <f>IF(AI92=1,'Panel'!$AB$4+SUM($AJ$5:AJ92),"")</f>
        <v/>
      </c>
      <c r="AL92">
        <f>IF(AI92=0,N(AL91),IF(R92&lt;0,N(AL91)+1,0))</f>
        <v>1</v>
      </c>
      <c r="AM92">
        <f>IF(AI92=0,N(AM91),IF(R92&gt;0,N(AM91)+1,0))</f>
        <v>0</v>
      </c>
      <c r="AN92">
        <f>IF(AI92=1,MAX('Panel'!$AB$4,N(AN91),AK92),N(AN91))</f>
        <v>21371.061500000033</v>
      </c>
      <c r="AO92">
        <f>IF(AI92=1,AN92-AK92,0)</f>
        <v>0</v>
      </c>
      <c r="AP92">
        <f>IF(AND(AI92=1,AN92&gt;0),AO92/AN92,0)</f>
        <v>0</v>
      </c>
      <c r="AQ92" t="str">
        <f>IF(AI92=1,SUM($AI$5:AI92),"")</f>
        <v/>
      </c>
      <c r="AR92" t="str">
        <f>IF(AI92=1,IF(COUNTIFS($D$5:D92,D92,$AI$5:AI92,1)=1,SUMIFS($AJ$5:$AJ$504,$D$5:$D$504,D92),""),"")</f>
        <v/>
      </c>
      <c r="AS92" t="str">
        <f>IF(AG92=1,WEEKDAY(D92,2),"")</f>
        <v/>
      </c>
      <c r="AT92" s="31" t="str">
        <f>IF(AG92=1,DATE(YEAR(D92),MONTH(D92),1),"")</f>
        <v/>
      </c>
      <c r="AU92">
        <f>IF(AG92=0,0,IF(AND(OR('Prop challenge'!$D$7="",F92='Prop challenge'!$D$7),OR('Prop challenge'!$D$9="",D92&gt;='Prop challenge'!$D$9)),1,0))</f>
        <v>0</v>
      </c>
      <c r="AV92">
        <f>IF(AU92=1,IF(COUNTIFS($D$5:D92,D92,$AU$5:AU92,1)=1,1,0),0)</f>
        <v>0</v>
      </c>
      <c r="AW92" t="str">
        <f>IF(AV92=1,SUM($AV$5:AV92),"")</f>
        <v/>
      </c>
      <c r="AX92" t="str">
        <f>IF(AV92=1,SUMIFS($R$5:$R$504,$D$5:$D$504,D92,$AU$5:$AU$504,1),"")</f>
        <v/>
      </c>
    </row>
    <row r="93">
      <c r="A93" s="20" t="str">
        <f>IF(AG93=1,ROW()-4,"")</f>
        <v/>
      </c>
      <c r="B93" s="21" t="n"/>
      <c r="C93" s="22" t="n"/>
      <c r="D93" s="21" t="n"/>
      <c r="E93" s="22" t="n"/>
      <c r="F93" s="23" t="n"/>
      <c r="G93" s="23" t="n"/>
      <c r="H93" s="23" t="n"/>
      <c r="I93" s="24" t="n"/>
      <c r="J93" s="25" t="n"/>
      <c r="K93" s="25" t="n"/>
      <c r="L93" s="25" t="n"/>
      <c r="M93" s="25" t="n"/>
      <c r="N93" s="26" t="n"/>
      <c r="O93" s="26" t="n"/>
      <c r="P93" s="27" t="str">
        <f>IF(OR(J93="",K93="",I93="",AF93=0,AD93=""),"",(K93-J93)*AF93*I93*AD93*AE93)</f>
        <v/>
      </c>
      <c r="Q93" s="26" t="n"/>
      <c r="R93" s="28" t="str">
        <f>IF(Q93&lt;&gt;"",Q93,IF(P93="","",P93-N(N93)+N(O93)))</f>
        <v/>
      </c>
      <c r="S93" s="27" t="str">
        <f>IF(OR(L93="",J93="",I93="",AD93=""),"",ABS(J93-L93)*I93*AD93*AE93)</f>
        <v/>
      </c>
      <c r="T93" s="29" t="str">
        <f>IF(OR(R93="",S93="",S93=0),"",R93/S93)</f>
        <v/>
      </c>
      <c r="U93" s="20" t="str">
        <f>IF(R93="","",IF(R93&gt;0,"Ganadora",IF(R93&lt;0,"Perdedora","BE")))</f>
        <v/>
      </c>
      <c r="V93" s="23" t="n"/>
      <c r="W93" s="23" t="n"/>
      <c r="X93" s="23" t="n"/>
      <c r="Y93" s="23" t="n"/>
      <c r="Z93" s="23" t="n"/>
      <c r="AA93" s="23" t="n"/>
      <c r="AB93" s="30" t="n"/>
      <c r="AC93" s="1" t="n"/>
      <c r="AD93" s="1" t="str">
        <f>IF(G93="","",IFERROR(INDEX('Listas'!$N$6:$N$35,MATCH(G93,'Listas'!$M$6:$M$35,0)),""))</f>
        <v/>
      </c>
      <c r="AE93">
        <f>IF(G93="",1,IFERROR(INDEX('Listas'!$P$6:$P$35,MATCH(G93,'Listas'!$M$6:$M$35,0)),1))</f>
        <v>1</v>
      </c>
      <c r="AF93">
        <f>IF(H93="Compra",1,IF(H93="Venta",-1,0))</f>
        <v>0</v>
      </c>
      <c r="AG93">
        <f>IF(AND(D93&lt;&gt;"",ISNUMBER(R93)),1,0)</f>
        <v>0</v>
      </c>
      <c r="AH93">
        <f>IF(AG93=0,0,IF(OR('Panel'!$D$5="Todas las cuentas",'Panel'!$D$5="",F93='Panel'!$D$5),1,0))</f>
        <v>0</v>
      </c>
      <c r="AI93">
        <f>IF(AH93=0,0,IF(AND(OR('Panel'!$G$5="",D93&gt;='Panel'!$G$5),OR('Panel'!$J$5="",D93&lt;='Panel'!$J$5)),1,0))</f>
        <v>0</v>
      </c>
      <c r="AJ93">
        <f>IF(AI93=1,R93,0)</f>
        <v>0</v>
      </c>
      <c r="AK93" t="str">
        <f>IF(AI93=1,'Panel'!$AB$4+SUM($AJ$5:AJ93),"")</f>
        <v/>
      </c>
      <c r="AL93">
        <f>IF(AI93=0,N(AL92),IF(R93&lt;0,N(AL92)+1,0))</f>
        <v>1</v>
      </c>
      <c r="AM93">
        <f>IF(AI93=0,N(AM92),IF(R93&gt;0,N(AM92)+1,0))</f>
        <v>0</v>
      </c>
      <c r="AN93">
        <f>IF(AI93=1,MAX('Panel'!$AB$4,N(AN92),AK93),N(AN92))</f>
        <v>21371.061500000033</v>
      </c>
      <c r="AO93">
        <f>IF(AI93=1,AN93-AK93,0)</f>
        <v>0</v>
      </c>
      <c r="AP93">
        <f>IF(AND(AI93=1,AN93&gt;0),AO93/AN93,0)</f>
        <v>0</v>
      </c>
      <c r="AQ93" t="str">
        <f>IF(AI93=1,SUM($AI$5:AI93),"")</f>
        <v/>
      </c>
      <c r="AR93" t="str">
        <f>IF(AI93=1,IF(COUNTIFS($D$5:D93,D93,$AI$5:AI93,1)=1,SUMIFS($AJ$5:$AJ$504,$D$5:$D$504,D93),""),"")</f>
        <v/>
      </c>
      <c r="AS93" t="str">
        <f>IF(AG93=1,WEEKDAY(D93,2),"")</f>
        <v/>
      </c>
      <c r="AT93" s="31" t="str">
        <f>IF(AG93=1,DATE(YEAR(D93),MONTH(D93),1),"")</f>
        <v/>
      </c>
      <c r="AU93">
        <f>IF(AG93=0,0,IF(AND(OR('Prop challenge'!$D$7="",F93='Prop challenge'!$D$7),OR('Prop challenge'!$D$9="",D93&gt;='Prop challenge'!$D$9)),1,0))</f>
        <v>0</v>
      </c>
      <c r="AV93">
        <f>IF(AU93=1,IF(COUNTIFS($D$5:D93,D93,$AU$5:AU93,1)=1,1,0),0)</f>
        <v>0</v>
      </c>
      <c r="AW93" t="str">
        <f>IF(AV93=1,SUM($AV$5:AV93),"")</f>
        <v/>
      </c>
      <c r="AX93" t="str">
        <f>IF(AV93=1,SUMIFS($R$5:$R$504,$D$5:$D$504,D93,$AU$5:$AU$504,1),"")</f>
        <v/>
      </c>
    </row>
    <row r="94">
      <c r="A94" s="20" t="str">
        <f>IF(AG94=1,ROW()-4,"")</f>
        <v/>
      </c>
      <c r="B94" s="21" t="n"/>
      <c r="C94" s="22" t="n"/>
      <c r="D94" s="21" t="n"/>
      <c r="E94" s="22" t="n"/>
      <c r="F94" s="23" t="n"/>
      <c r="G94" s="23" t="n"/>
      <c r="H94" s="23" t="n"/>
      <c r="I94" s="24" t="n"/>
      <c r="J94" s="25" t="n"/>
      <c r="K94" s="25" t="n"/>
      <c r="L94" s="25" t="n"/>
      <c r="M94" s="25" t="n"/>
      <c r="N94" s="26" t="n"/>
      <c r="O94" s="26" t="n"/>
      <c r="P94" s="27" t="str">
        <f>IF(OR(J94="",K94="",I94="",AF94=0,AD94=""),"",(K94-J94)*AF94*I94*AD94*AE94)</f>
        <v/>
      </c>
      <c r="Q94" s="26" t="n"/>
      <c r="R94" s="28" t="str">
        <f>IF(Q94&lt;&gt;"",Q94,IF(P94="","",P94-N(N94)+N(O94)))</f>
        <v/>
      </c>
      <c r="S94" s="27" t="str">
        <f>IF(OR(L94="",J94="",I94="",AD94=""),"",ABS(J94-L94)*I94*AD94*AE94)</f>
        <v/>
      </c>
      <c r="T94" s="29" t="str">
        <f>IF(OR(R94="",S94="",S94=0),"",R94/S94)</f>
        <v/>
      </c>
      <c r="U94" s="20" t="str">
        <f>IF(R94="","",IF(R94&gt;0,"Ganadora",IF(R94&lt;0,"Perdedora","BE")))</f>
        <v/>
      </c>
      <c r="V94" s="23" t="n"/>
      <c r="W94" s="23" t="n"/>
      <c r="X94" s="23" t="n"/>
      <c r="Y94" s="23" t="n"/>
      <c r="Z94" s="23" t="n"/>
      <c r="AA94" s="23" t="n"/>
      <c r="AB94" s="30" t="n"/>
      <c r="AC94" s="1" t="n"/>
      <c r="AD94" s="1" t="str">
        <f>IF(G94="","",IFERROR(INDEX('Listas'!$N$6:$N$35,MATCH(G94,'Listas'!$M$6:$M$35,0)),""))</f>
        <v/>
      </c>
      <c r="AE94">
        <f>IF(G94="",1,IFERROR(INDEX('Listas'!$P$6:$P$35,MATCH(G94,'Listas'!$M$6:$M$35,0)),1))</f>
        <v>1</v>
      </c>
      <c r="AF94">
        <f>IF(H94="Compra",1,IF(H94="Venta",-1,0))</f>
        <v>0</v>
      </c>
      <c r="AG94">
        <f>IF(AND(D94&lt;&gt;"",ISNUMBER(R94)),1,0)</f>
        <v>0</v>
      </c>
      <c r="AH94">
        <f>IF(AG94=0,0,IF(OR('Panel'!$D$5="Todas las cuentas",'Panel'!$D$5="",F94='Panel'!$D$5),1,0))</f>
        <v>0</v>
      </c>
      <c r="AI94">
        <f>IF(AH94=0,0,IF(AND(OR('Panel'!$G$5="",D94&gt;='Panel'!$G$5),OR('Panel'!$J$5="",D94&lt;='Panel'!$J$5)),1,0))</f>
        <v>0</v>
      </c>
      <c r="AJ94">
        <f>IF(AI94=1,R94,0)</f>
        <v>0</v>
      </c>
      <c r="AK94" t="str">
        <f>IF(AI94=1,'Panel'!$AB$4+SUM($AJ$5:AJ94),"")</f>
        <v/>
      </c>
      <c r="AL94">
        <f>IF(AI94=0,N(AL93),IF(R94&lt;0,N(AL93)+1,0))</f>
        <v>1</v>
      </c>
      <c r="AM94">
        <f>IF(AI94=0,N(AM93),IF(R94&gt;0,N(AM93)+1,0))</f>
        <v>0</v>
      </c>
      <c r="AN94">
        <f>IF(AI94=1,MAX('Panel'!$AB$4,N(AN93),AK94),N(AN93))</f>
        <v>21371.061500000033</v>
      </c>
      <c r="AO94">
        <f>IF(AI94=1,AN94-AK94,0)</f>
        <v>0</v>
      </c>
      <c r="AP94">
        <f>IF(AND(AI94=1,AN94&gt;0),AO94/AN94,0)</f>
        <v>0</v>
      </c>
      <c r="AQ94" t="str">
        <f>IF(AI94=1,SUM($AI$5:AI94),"")</f>
        <v/>
      </c>
      <c r="AR94" t="str">
        <f>IF(AI94=1,IF(COUNTIFS($D$5:D94,D94,$AI$5:AI94,1)=1,SUMIFS($AJ$5:$AJ$504,$D$5:$D$504,D94),""),"")</f>
        <v/>
      </c>
      <c r="AS94" t="str">
        <f>IF(AG94=1,WEEKDAY(D94,2),"")</f>
        <v/>
      </c>
      <c r="AT94" s="31" t="str">
        <f>IF(AG94=1,DATE(YEAR(D94),MONTH(D94),1),"")</f>
        <v/>
      </c>
      <c r="AU94">
        <f>IF(AG94=0,0,IF(AND(OR('Prop challenge'!$D$7="",F94='Prop challenge'!$D$7),OR('Prop challenge'!$D$9="",D94&gt;='Prop challenge'!$D$9)),1,0))</f>
        <v>0</v>
      </c>
      <c r="AV94">
        <f>IF(AU94=1,IF(COUNTIFS($D$5:D94,D94,$AU$5:AU94,1)=1,1,0),0)</f>
        <v>0</v>
      </c>
      <c r="AW94" t="str">
        <f>IF(AV94=1,SUM($AV$5:AV94),"")</f>
        <v/>
      </c>
      <c r="AX94" t="str">
        <f>IF(AV94=1,SUMIFS($R$5:$R$504,$D$5:$D$504,D94,$AU$5:$AU$504,1),"")</f>
        <v/>
      </c>
    </row>
    <row r="95">
      <c r="A95" s="20" t="str">
        <f>IF(AG95=1,ROW()-4,"")</f>
        <v/>
      </c>
      <c r="B95" s="21" t="n"/>
      <c r="C95" s="22" t="n"/>
      <c r="D95" s="21" t="n"/>
      <c r="E95" s="22" t="n"/>
      <c r="F95" s="23" t="n"/>
      <c r="G95" s="23" t="n"/>
      <c r="H95" s="23" t="n"/>
      <c r="I95" s="24" t="n"/>
      <c r="J95" s="25" t="n"/>
      <c r="K95" s="25" t="n"/>
      <c r="L95" s="25" t="n"/>
      <c r="M95" s="25" t="n"/>
      <c r="N95" s="26" t="n"/>
      <c r="O95" s="26" t="n"/>
      <c r="P95" s="27" t="str">
        <f>IF(OR(J95="",K95="",I95="",AF95=0,AD95=""),"",(K95-J95)*AF95*I95*AD95*AE95)</f>
        <v/>
      </c>
      <c r="Q95" s="26" t="n"/>
      <c r="R95" s="28" t="str">
        <f>IF(Q95&lt;&gt;"",Q95,IF(P95="","",P95-N(N95)+N(O95)))</f>
        <v/>
      </c>
      <c r="S95" s="27" t="str">
        <f>IF(OR(L95="",J95="",I95="",AD95=""),"",ABS(J95-L95)*I95*AD95*AE95)</f>
        <v/>
      </c>
      <c r="T95" s="29" t="str">
        <f>IF(OR(R95="",S95="",S95=0),"",R95/S95)</f>
        <v/>
      </c>
      <c r="U95" s="20" t="str">
        <f>IF(R95="","",IF(R95&gt;0,"Ganadora",IF(R95&lt;0,"Perdedora","BE")))</f>
        <v/>
      </c>
      <c r="V95" s="23" t="n"/>
      <c r="W95" s="23" t="n"/>
      <c r="X95" s="23" t="n"/>
      <c r="Y95" s="23" t="n"/>
      <c r="Z95" s="23" t="n"/>
      <c r="AA95" s="23" t="n"/>
      <c r="AB95" s="30" t="n"/>
      <c r="AC95" s="1" t="n"/>
      <c r="AD95" s="1" t="str">
        <f>IF(G95="","",IFERROR(INDEX('Listas'!$N$6:$N$35,MATCH(G95,'Listas'!$M$6:$M$35,0)),""))</f>
        <v/>
      </c>
      <c r="AE95">
        <f>IF(G95="",1,IFERROR(INDEX('Listas'!$P$6:$P$35,MATCH(G95,'Listas'!$M$6:$M$35,0)),1))</f>
        <v>1</v>
      </c>
      <c r="AF95">
        <f>IF(H95="Compra",1,IF(H95="Venta",-1,0))</f>
        <v>0</v>
      </c>
      <c r="AG95">
        <f>IF(AND(D95&lt;&gt;"",ISNUMBER(R95)),1,0)</f>
        <v>0</v>
      </c>
      <c r="AH95">
        <f>IF(AG95=0,0,IF(OR('Panel'!$D$5="Todas las cuentas",'Panel'!$D$5="",F95='Panel'!$D$5),1,0))</f>
        <v>0</v>
      </c>
      <c r="AI95">
        <f>IF(AH95=0,0,IF(AND(OR('Panel'!$G$5="",D95&gt;='Panel'!$G$5),OR('Panel'!$J$5="",D95&lt;='Panel'!$J$5)),1,0))</f>
        <v>0</v>
      </c>
      <c r="AJ95">
        <f>IF(AI95=1,R95,0)</f>
        <v>0</v>
      </c>
      <c r="AK95" t="str">
        <f>IF(AI95=1,'Panel'!$AB$4+SUM($AJ$5:AJ95),"")</f>
        <v/>
      </c>
      <c r="AL95">
        <f>IF(AI95=0,N(AL94),IF(R95&lt;0,N(AL94)+1,0))</f>
        <v>1</v>
      </c>
      <c r="AM95">
        <f>IF(AI95=0,N(AM94),IF(R95&gt;0,N(AM94)+1,0))</f>
        <v>0</v>
      </c>
      <c r="AN95">
        <f>IF(AI95=1,MAX('Panel'!$AB$4,N(AN94),AK95),N(AN94))</f>
        <v>21371.061500000033</v>
      </c>
      <c r="AO95">
        <f>IF(AI95=1,AN95-AK95,0)</f>
        <v>0</v>
      </c>
      <c r="AP95">
        <f>IF(AND(AI95=1,AN95&gt;0),AO95/AN95,0)</f>
        <v>0</v>
      </c>
      <c r="AQ95" t="str">
        <f>IF(AI95=1,SUM($AI$5:AI95),"")</f>
        <v/>
      </c>
      <c r="AR95" t="str">
        <f>IF(AI95=1,IF(COUNTIFS($D$5:D95,D95,$AI$5:AI95,1)=1,SUMIFS($AJ$5:$AJ$504,$D$5:$D$504,D95),""),"")</f>
        <v/>
      </c>
      <c r="AS95" t="str">
        <f>IF(AG95=1,WEEKDAY(D95,2),"")</f>
        <v/>
      </c>
      <c r="AT95" s="31" t="str">
        <f>IF(AG95=1,DATE(YEAR(D95),MONTH(D95),1),"")</f>
        <v/>
      </c>
      <c r="AU95">
        <f>IF(AG95=0,0,IF(AND(OR('Prop challenge'!$D$7="",F95='Prop challenge'!$D$7),OR('Prop challenge'!$D$9="",D95&gt;='Prop challenge'!$D$9)),1,0))</f>
        <v>0</v>
      </c>
      <c r="AV95">
        <f>IF(AU95=1,IF(COUNTIFS($D$5:D95,D95,$AU$5:AU95,1)=1,1,0),0)</f>
        <v>0</v>
      </c>
      <c r="AW95" t="str">
        <f>IF(AV95=1,SUM($AV$5:AV95),"")</f>
        <v/>
      </c>
      <c r="AX95" t="str">
        <f>IF(AV95=1,SUMIFS($R$5:$R$504,$D$5:$D$504,D95,$AU$5:$AU$504,1),"")</f>
        <v/>
      </c>
    </row>
    <row r="96">
      <c r="A96" s="20" t="str">
        <f>IF(AG96=1,ROW()-4,"")</f>
        <v/>
      </c>
      <c r="B96" s="21" t="n"/>
      <c r="C96" s="22" t="n"/>
      <c r="D96" s="21" t="n"/>
      <c r="E96" s="22" t="n"/>
      <c r="F96" s="23" t="n"/>
      <c r="G96" s="23" t="n"/>
      <c r="H96" s="23" t="n"/>
      <c r="I96" s="24" t="n"/>
      <c r="J96" s="25" t="n"/>
      <c r="K96" s="25" t="n"/>
      <c r="L96" s="25" t="n"/>
      <c r="M96" s="25" t="n"/>
      <c r="N96" s="26" t="n"/>
      <c r="O96" s="26" t="n"/>
      <c r="P96" s="27" t="str">
        <f>IF(OR(J96="",K96="",I96="",AF96=0,AD96=""),"",(K96-J96)*AF96*I96*AD96*AE96)</f>
        <v/>
      </c>
      <c r="Q96" s="26" t="n"/>
      <c r="R96" s="28" t="str">
        <f>IF(Q96&lt;&gt;"",Q96,IF(P96="","",P96-N(N96)+N(O96)))</f>
        <v/>
      </c>
      <c r="S96" s="27" t="str">
        <f>IF(OR(L96="",J96="",I96="",AD96=""),"",ABS(J96-L96)*I96*AD96*AE96)</f>
        <v/>
      </c>
      <c r="T96" s="29" t="str">
        <f>IF(OR(R96="",S96="",S96=0),"",R96/S96)</f>
        <v/>
      </c>
      <c r="U96" s="20" t="str">
        <f>IF(R96="","",IF(R96&gt;0,"Ganadora",IF(R96&lt;0,"Perdedora","BE")))</f>
        <v/>
      </c>
      <c r="V96" s="23" t="n"/>
      <c r="W96" s="23" t="n"/>
      <c r="X96" s="23" t="n"/>
      <c r="Y96" s="23" t="n"/>
      <c r="Z96" s="23" t="n"/>
      <c r="AA96" s="23" t="n"/>
      <c r="AB96" s="30" t="n"/>
      <c r="AC96" s="1" t="n"/>
      <c r="AD96" s="1" t="str">
        <f>IF(G96="","",IFERROR(INDEX('Listas'!$N$6:$N$35,MATCH(G96,'Listas'!$M$6:$M$35,0)),""))</f>
        <v/>
      </c>
      <c r="AE96">
        <f>IF(G96="",1,IFERROR(INDEX('Listas'!$P$6:$P$35,MATCH(G96,'Listas'!$M$6:$M$35,0)),1))</f>
        <v>1</v>
      </c>
      <c r="AF96">
        <f>IF(H96="Compra",1,IF(H96="Venta",-1,0))</f>
        <v>0</v>
      </c>
      <c r="AG96">
        <f>IF(AND(D96&lt;&gt;"",ISNUMBER(R96)),1,0)</f>
        <v>0</v>
      </c>
      <c r="AH96">
        <f>IF(AG96=0,0,IF(OR('Panel'!$D$5="Todas las cuentas",'Panel'!$D$5="",F96='Panel'!$D$5),1,0))</f>
        <v>0</v>
      </c>
      <c r="AI96">
        <f>IF(AH96=0,0,IF(AND(OR('Panel'!$G$5="",D96&gt;='Panel'!$G$5),OR('Panel'!$J$5="",D96&lt;='Panel'!$J$5)),1,0))</f>
        <v>0</v>
      </c>
      <c r="AJ96">
        <f>IF(AI96=1,R96,0)</f>
        <v>0</v>
      </c>
      <c r="AK96" t="str">
        <f>IF(AI96=1,'Panel'!$AB$4+SUM($AJ$5:AJ96),"")</f>
        <v/>
      </c>
      <c r="AL96">
        <f>IF(AI96=0,N(AL95),IF(R96&lt;0,N(AL95)+1,0))</f>
        <v>1</v>
      </c>
      <c r="AM96">
        <f>IF(AI96=0,N(AM95),IF(R96&gt;0,N(AM95)+1,0))</f>
        <v>0</v>
      </c>
      <c r="AN96">
        <f>IF(AI96=1,MAX('Panel'!$AB$4,N(AN95),AK96),N(AN95))</f>
        <v>21371.061500000033</v>
      </c>
      <c r="AO96">
        <f>IF(AI96=1,AN96-AK96,0)</f>
        <v>0</v>
      </c>
      <c r="AP96">
        <f>IF(AND(AI96=1,AN96&gt;0),AO96/AN96,0)</f>
        <v>0</v>
      </c>
      <c r="AQ96" t="str">
        <f>IF(AI96=1,SUM($AI$5:AI96),"")</f>
        <v/>
      </c>
      <c r="AR96" t="str">
        <f>IF(AI96=1,IF(COUNTIFS($D$5:D96,D96,$AI$5:AI96,1)=1,SUMIFS($AJ$5:$AJ$504,$D$5:$D$504,D96),""),"")</f>
        <v/>
      </c>
      <c r="AS96" t="str">
        <f>IF(AG96=1,WEEKDAY(D96,2),"")</f>
        <v/>
      </c>
      <c r="AT96" s="31" t="str">
        <f>IF(AG96=1,DATE(YEAR(D96),MONTH(D96),1),"")</f>
        <v/>
      </c>
      <c r="AU96">
        <f>IF(AG96=0,0,IF(AND(OR('Prop challenge'!$D$7="",F96='Prop challenge'!$D$7),OR('Prop challenge'!$D$9="",D96&gt;='Prop challenge'!$D$9)),1,0))</f>
        <v>0</v>
      </c>
      <c r="AV96">
        <f>IF(AU96=1,IF(COUNTIFS($D$5:D96,D96,$AU$5:AU96,1)=1,1,0),0)</f>
        <v>0</v>
      </c>
      <c r="AW96" t="str">
        <f>IF(AV96=1,SUM($AV$5:AV96),"")</f>
        <v/>
      </c>
      <c r="AX96" t="str">
        <f>IF(AV96=1,SUMIFS($R$5:$R$504,$D$5:$D$504,D96,$AU$5:$AU$504,1),"")</f>
        <v/>
      </c>
    </row>
    <row r="97">
      <c r="A97" s="20" t="str">
        <f>IF(AG97=1,ROW()-4,"")</f>
        <v/>
      </c>
      <c r="B97" s="21" t="n"/>
      <c r="C97" s="22" t="n"/>
      <c r="D97" s="21" t="n"/>
      <c r="E97" s="22" t="n"/>
      <c r="F97" s="23" t="n"/>
      <c r="G97" s="23" t="n"/>
      <c r="H97" s="23" t="n"/>
      <c r="I97" s="24" t="n"/>
      <c r="J97" s="25" t="n"/>
      <c r="K97" s="25" t="n"/>
      <c r="L97" s="25" t="n"/>
      <c r="M97" s="25" t="n"/>
      <c r="N97" s="26" t="n"/>
      <c r="O97" s="26" t="n"/>
      <c r="P97" s="27" t="str">
        <f>IF(OR(J97="",K97="",I97="",AF97=0,AD97=""),"",(K97-J97)*AF97*I97*AD97*AE97)</f>
        <v/>
      </c>
      <c r="Q97" s="26" t="n"/>
      <c r="R97" s="28" t="str">
        <f>IF(Q97&lt;&gt;"",Q97,IF(P97="","",P97-N(N97)+N(O97)))</f>
        <v/>
      </c>
      <c r="S97" s="27" t="str">
        <f>IF(OR(L97="",J97="",I97="",AD97=""),"",ABS(J97-L97)*I97*AD97*AE97)</f>
        <v/>
      </c>
      <c r="T97" s="29" t="str">
        <f>IF(OR(R97="",S97="",S97=0),"",R97/S97)</f>
        <v/>
      </c>
      <c r="U97" s="20" t="str">
        <f>IF(R97="","",IF(R97&gt;0,"Ganadora",IF(R97&lt;0,"Perdedora","BE")))</f>
        <v/>
      </c>
      <c r="V97" s="23" t="n"/>
      <c r="W97" s="23" t="n"/>
      <c r="X97" s="23" t="n"/>
      <c r="Y97" s="23" t="n"/>
      <c r="Z97" s="23" t="n"/>
      <c r="AA97" s="23" t="n"/>
      <c r="AB97" s="30" t="n"/>
      <c r="AC97" s="1" t="n"/>
      <c r="AD97" s="1" t="str">
        <f>IF(G97="","",IFERROR(INDEX('Listas'!$N$6:$N$35,MATCH(G97,'Listas'!$M$6:$M$35,0)),""))</f>
        <v/>
      </c>
      <c r="AE97">
        <f>IF(G97="",1,IFERROR(INDEX('Listas'!$P$6:$P$35,MATCH(G97,'Listas'!$M$6:$M$35,0)),1))</f>
        <v>1</v>
      </c>
      <c r="AF97">
        <f>IF(H97="Compra",1,IF(H97="Venta",-1,0))</f>
        <v>0</v>
      </c>
      <c r="AG97">
        <f>IF(AND(D97&lt;&gt;"",ISNUMBER(R97)),1,0)</f>
        <v>0</v>
      </c>
      <c r="AH97">
        <f>IF(AG97=0,0,IF(OR('Panel'!$D$5="Todas las cuentas",'Panel'!$D$5="",F97='Panel'!$D$5),1,0))</f>
        <v>0</v>
      </c>
      <c r="AI97">
        <f>IF(AH97=0,0,IF(AND(OR('Panel'!$G$5="",D97&gt;='Panel'!$G$5),OR('Panel'!$J$5="",D97&lt;='Panel'!$J$5)),1,0))</f>
        <v>0</v>
      </c>
      <c r="AJ97">
        <f>IF(AI97=1,R97,0)</f>
        <v>0</v>
      </c>
      <c r="AK97" t="str">
        <f>IF(AI97=1,'Panel'!$AB$4+SUM($AJ$5:AJ97),"")</f>
        <v/>
      </c>
      <c r="AL97">
        <f>IF(AI97=0,N(AL96),IF(R97&lt;0,N(AL96)+1,0))</f>
        <v>1</v>
      </c>
      <c r="AM97">
        <f>IF(AI97=0,N(AM96),IF(R97&gt;0,N(AM96)+1,0))</f>
        <v>0</v>
      </c>
      <c r="AN97">
        <f>IF(AI97=1,MAX('Panel'!$AB$4,N(AN96),AK97),N(AN96))</f>
        <v>21371.061500000033</v>
      </c>
      <c r="AO97">
        <f>IF(AI97=1,AN97-AK97,0)</f>
        <v>0</v>
      </c>
      <c r="AP97">
        <f>IF(AND(AI97=1,AN97&gt;0),AO97/AN97,0)</f>
        <v>0</v>
      </c>
      <c r="AQ97" t="str">
        <f>IF(AI97=1,SUM($AI$5:AI97),"")</f>
        <v/>
      </c>
      <c r="AR97" t="str">
        <f>IF(AI97=1,IF(COUNTIFS($D$5:D97,D97,$AI$5:AI97,1)=1,SUMIFS($AJ$5:$AJ$504,$D$5:$D$504,D97),""),"")</f>
        <v/>
      </c>
      <c r="AS97" t="str">
        <f>IF(AG97=1,WEEKDAY(D97,2),"")</f>
        <v/>
      </c>
      <c r="AT97" s="31" t="str">
        <f>IF(AG97=1,DATE(YEAR(D97),MONTH(D97),1),"")</f>
        <v/>
      </c>
      <c r="AU97">
        <f>IF(AG97=0,0,IF(AND(OR('Prop challenge'!$D$7="",F97='Prop challenge'!$D$7),OR('Prop challenge'!$D$9="",D97&gt;='Prop challenge'!$D$9)),1,0))</f>
        <v>0</v>
      </c>
      <c r="AV97">
        <f>IF(AU97=1,IF(COUNTIFS($D$5:D97,D97,$AU$5:AU97,1)=1,1,0),0)</f>
        <v>0</v>
      </c>
      <c r="AW97" t="str">
        <f>IF(AV97=1,SUM($AV$5:AV97),"")</f>
        <v/>
      </c>
      <c r="AX97" t="str">
        <f>IF(AV97=1,SUMIFS($R$5:$R$504,$D$5:$D$504,D97,$AU$5:$AU$504,1),"")</f>
        <v/>
      </c>
    </row>
    <row r="98">
      <c r="A98" s="20" t="str">
        <f>IF(AG98=1,ROW()-4,"")</f>
        <v/>
      </c>
      <c r="B98" s="21" t="n"/>
      <c r="C98" s="22" t="n"/>
      <c r="D98" s="21" t="n"/>
      <c r="E98" s="22" t="n"/>
      <c r="F98" s="23" t="n"/>
      <c r="G98" s="23" t="n"/>
      <c r="H98" s="23" t="n"/>
      <c r="I98" s="24" t="n"/>
      <c r="J98" s="25" t="n"/>
      <c r="K98" s="25" t="n"/>
      <c r="L98" s="25" t="n"/>
      <c r="M98" s="25" t="n"/>
      <c r="N98" s="26" t="n"/>
      <c r="O98" s="26" t="n"/>
      <c r="P98" s="27" t="str">
        <f>IF(OR(J98="",K98="",I98="",AF98=0,AD98=""),"",(K98-J98)*AF98*I98*AD98*AE98)</f>
        <v/>
      </c>
      <c r="Q98" s="26" t="n"/>
      <c r="R98" s="28" t="str">
        <f>IF(Q98&lt;&gt;"",Q98,IF(P98="","",P98-N(N98)+N(O98)))</f>
        <v/>
      </c>
      <c r="S98" s="27" t="str">
        <f>IF(OR(L98="",J98="",I98="",AD98=""),"",ABS(J98-L98)*I98*AD98*AE98)</f>
        <v/>
      </c>
      <c r="T98" s="29" t="str">
        <f>IF(OR(R98="",S98="",S98=0),"",R98/S98)</f>
        <v/>
      </c>
      <c r="U98" s="20" t="str">
        <f>IF(R98="","",IF(R98&gt;0,"Ganadora",IF(R98&lt;0,"Perdedora","BE")))</f>
        <v/>
      </c>
      <c r="V98" s="23" t="n"/>
      <c r="W98" s="23" t="n"/>
      <c r="X98" s="23" t="n"/>
      <c r="Y98" s="23" t="n"/>
      <c r="Z98" s="23" t="n"/>
      <c r="AA98" s="23" t="n"/>
      <c r="AB98" s="30" t="n"/>
      <c r="AC98" s="1" t="n"/>
      <c r="AD98" s="1" t="str">
        <f>IF(G98="","",IFERROR(INDEX('Listas'!$N$6:$N$35,MATCH(G98,'Listas'!$M$6:$M$35,0)),""))</f>
        <v/>
      </c>
      <c r="AE98">
        <f>IF(G98="",1,IFERROR(INDEX('Listas'!$P$6:$P$35,MATCH(G98,'Listas'!$M$6:$M$35,0)),1))</f>
        <v>1</v>
      </c>
      <c r="AF98">
        <f>IF(H98="Compra",1,IF(H98="Venta",-1,0))</f>
        <v>0</v>
      </c>
      <c r="AG98">
        <f>IF(AND(D98&lt;&gt;"",ISNUMBER(R98)),1,0)</f>
        <v>0</v>
      </c>
      <c r="AH98">
        <f>IF(AG98=0,0,IF(OR('Panel'!$D$5="Todas las cuentas",'Panel'!$D$5="",F98='Panel'!$D$5),1,0))</f>
        <v>0</v>
      </c>
      <c r="AI98">
        <f>IF(AH98=0,0,IF(AND(OR('Panel'!$G$5="",D98&gt;='Panel'!$G$5),OR('Panel'!$J$5="",D98&lt;='Panel'!$J$5)),1,0))</f>
        <v>0</v>
      </c>
      <c r="AJ98">
        <f>IF(AI98=1,R98,0)</f>
        <v>0</v>
      </c>
      <c r="AK98" t="str">
        <f>IF(AI98=1,'Panel'!$AB$4+SUM($AJ$5:AJ98),"")</f>
        <v/>
      </c>
      <c r="AL98">
        <f>IF(AI98=0,N(AL97),IF(R98&lt;0,N(AL97)+1,0))</f>
        <v>1</v>
      </c>
      <c r="AM98">
        <f>IF(AI98=0,N(AM97),IF(R98&gt;0,N(AM97)+1,0))</f>
        <v>0</v>
      </c>
      <c r="AN98">
        <f>IF(AI98=1,MAX('Panel'!$AB$4,N(AN97),AK98),N(AN97))</f>
        <v>21371.061500000033</v>
      </c>
      <c r="AO98">
        <f>IF(AI98=1,AN98-AK98,0)</f>
        <v>0</v>
      </c>
      <c r="AP98">
        <f>IF(AND(AI98=1,AN98&gt;0),AO98/AN98,0)</f>
        <v>0</v>
      </c>
      <c r="AQ98" t="str">
        <f>IF(AI98=1,SUM($AI$5:AI98),"")</f>
        <v/>
      </c>
      <c r="AR98" t="str">
        <f>IF(AI98=1,IF(COUNTIFS($D$5:D98,D98,$AI$5:AI98,1)=1,SUMIFS($AJ$5:$AJ$504,$D$5:$D$504,D98),""),"")</f>
        <v/>
      </c>
      <c r="AS98" t="str">
        <f>IF(AG98=1,WEEKDAY(D98,2),"")</f>
        <v/>
      </c>
      <c r="AT98" s="31" t="str">
        <f>IF(AG98=1,DATE(YEAR(D98),MONTH(D98),1),"")</f>
        <v/>
      </c>
      <c r="AU98">
        <f>IF(AG98=0,0,IF(AND(OR('Prop challenge'!$D$7="",F98='Prop challenge'!$D$7),OR('Prop challenge'!$D$9="",D98&gt;='Prop challenge'!$D$9)),1,0))</f>
        <v>0</v>
      </c>
      <c r="AV98">
        <f>IF(AU98=1,IF(COUNTIFS($D$5:D98,D98,$AU$5:AU98,1)=1,1,0),0)</f>
        <v>0</v>
      </c>
      <c r="AW98" t="str">
        <f>IF(AV98=1,SUM($AV$5:AV98),"")</f>
        <v/>
      </c>
      <c r="AX98" t="str">
        <f>IF(AV98=1,SUMIFS($R$5:$R$504,$D$5:$D$504,D98,$AU$5:$AU$504,1),"")</f>
        <v/>
      </c>
    </row>
    <row r="99">
      <c r="A99" s="20" t="str">
        <f>IF(AG99=1,ROW()-4,"")</f>
        <v/>
      </c>
      <c r="B99" s="21" t="n"/>
      <c r="C99" s="22" t="n"/>
      <c r="D99" s="21" t="n"/>
      <c r="E99" s="22" t="n"/>
      <c r="F99" s="23" t="n"/>
      <c r="G99" s="23" t="n"/>
      <c r="H99" s="23" t="n"/>
      <c r="I99" s="24" t="n"/>
      <c r="J99" s="25" t="n"/>
      <c r="K99" s="25" t="n"/>
      <c r="L99" s="25" t="n"/>
      <c r="M99" s="25" t="n"/>
      <c r="N99" s="26" t="n"/>
      <c r="O99" s="26" t="n"/>
      <c r="P99" s="27" t="str">
        <f>IF(OR(J99="",K99="",I99="",AF99=0,AD99=""),"",(K99-J99)*AF99*I99*AD99*AE99)</f>
        <v/>
      </c>
      <c r="Q99" s="26" t="n"/>
      <c r="R99" s="28" t="str">
        <f>IF(Q99&lt;&gt;"",Q99,IF(P99="","",P99-N(N99)+N(O99)))</f>
        <v/>
      </c>
      <c r="S99" s="27" t="str">
        <f>IF(OR(L99="",J99="",I99="",AD99=""),"",ABS(J99-L99)*I99*AD99*AE99)</f>
        <v/>
      </c>
      <c r="T99" s="29" t="str">
        <f>IF(OR(R99="",S99="",S99=0),"",R99/S99)</f>
        <v/>
      </c>
      <c r="U99" s="20" t="str">
        <f>IF(R99="","",IF(R99&gt;0,"Ganadora",IF(R99&lt;0,"Perdedora","BE")))</f>
        <v/>
      </c>
      <c r="V99" s="23" t="n"/>
      <c r="W99" s="23" t="n"/>
      <c r="X99" s="23" t="n"/>
      <c r="Y99" s="23" t="n"/>
      <c r="Z99" s="23" t="n"/>
      <c r="AA99" s="23" t="n"/>
      <c r="AB99" s="30" t="n"/>
      <c r="AC99" s="1" t="n"/>
      <c r="AD99" s="1" t="str">
        <f>IF(G99="","",IFERROR(INDEX('Listas'!$N$6:$N$35,MATCH(G99,'Listas'!$M$6:$M$35,0)),""))</f>
        <v/>
      </c>
      <c r="AE99">
        <f>IF(G99="",1,IFERROR(INDEX('Listas'!$P$6:$P$35,MATCH(G99,'Listas'!$M$6:$M$35,0)),1))</f>
        <v>1</v>
      </c>
      <c r="AF99">
        <f>IF(H99="Compra",1,IF(H99="Venta",-1,0))</f>
        <v>0</v>
      </c>
      <c r="AG99">
        <f>IF(AND(D99&lt;&gt;"",ISNUMBER(R99)),1,0)</f>
        <v>0</v>
      </c>
      <c r="AH99">
        <f>IF(AG99=0,0,IF(OR('Panel'!$D$5="Todas las cuentas",'Panel'!$D$5="",F99='Panel'!$D$5),1,0))</f>
        <v>0</v>
      </c>
      <c r="AI99">
        <f>IF(AH99=0,0,IF(AND(OR('Panel'!$G$5="",D99&gt;='Panel'!$G$5),OR('Panel'!$J$5="",D99&lt;='Panel'!$J$5)),1,0))</f>
        <v>0</v>
      </c>
      <c r="AJ99">
        <f>IF(AI99=1,R99,0)</f>
        <v>0</v>
      </c>
      <c r="AK99" t="str">
        <f>IF(AI99=1,'Panel'!$AB$4+SUM($AJ$5:AJ99),"")</f>
        <v/>
      </c>
      <c r="AL99">
        <f>IF(AI99=0,N(AL98),IF(R99&lt;0,N(AL98)+1,0))</f>
        <v>1</v>
      </c>
      <c r="AM99">
        <f>IF(AI99=0,N(AM98),IF(R99&gt;0,N(AM98)+1,0))</f>
        <v>0</v>
      </c>
      <c r="AN99">
        <f>IF(AI99=1,MAX('Panel'!$AB$4,N(AN98),AK99),N(AN98))</f>
        <v>21371.061500000033</v>
      </c>
      <c r="AO99">
        <f>IF(AI99=1,AN99-AK99,0)</f>
        <v>0</v>
      </c>
      <c r="AP99">
        <f>IF(AND(AI99=1,AN99&gt;0),AO99/AN99,0)</f>
        <v>0</v>
      </c>
      <c r="AQ99" t="str">
        <f>IF(AI99=1,SUM($AI$5:AI99),"")</f>
        <v/>
      </c>
      <c r="AR99" t="str">
        <f>IF(AI99=1,IF(COUNTIFS($D$5:D99,D99,$AI$5:AI99,1)=1,SUMIFS($AJ$5:$AJ$504,$D$5:$D$504,D99),""),"")</f>
        <v/>
      </c>
      <c r="AS99" t="str">
        <f>IF(AG99=1,WEEKDAY(D99,2),"")</f>
        <v/>
      </c>
      <c r="AT99" s="31" t="str">
        <f>IF(AG99=1,DATE(YEAR(D99),MONTH(D99),1),"")</f>
        <v/>
      </c>
      <c r="AU99">
        <f>IF(AG99=0,0,IF(AND(OR('Prop challenge'!$D$7="",F99='Prop challenge'!$D$7),OR('Prop challenge'!$D$9="",D99&gt;='Prop challenge'!$D$9)),1,0))</f>
        <v>0</v>
      </c>
      <c r="AV99">
        <f>IF(AU99=1,IF(COUNTIFS($D$5:D99,D99,$AU$5:AU99,1)=1,1,0),0)</f>
        <v>0</v>
      </c>
      <c r="AW99" t="str">
        <f>IF(AV99=1,SUM($AV$5:AV99),"")</f>
        <v/>
      </c>
      <c r="AX99" t="str">
        <f>IF(AV99=1,SUMIFS($R$5:$R$504,$D$5:$D$504,D99,$AU$5:$AU$504,1),"")</f>
        <v/>
      </c>
    </row>
    <row r="100">
      <c r="A100" s="20" t="str">
        <f>IF(AG100=1,ROW()-4,"")</f>
        <v/>
      </c>
      <c r="B100" s="21" t="n"/>
      <c r="C100" s="22" t="n"/>
      <c r="D100" s="21" t="n"/>
      <c r="E100" s="22" t="n"/>
      <c r="F100" s="23" t="n"/>
      <c r="G100" s="23" t="n"/>
      <c r="H100" s="23" t="n"/>
      <c r="I100" s="24" t="n"/>
      <c r="J100" s="25" t="n"/>
      <c r="K100" s="25" t="n"/>
      <c r="L100" s="25" t="n"/>
      <c r="M100" s="25" t="n"/>
      <c r="N100" s="26" t="n"/>
      <c r="O100" s="26" t="n"/>
      <c r="P100" s="27" t="str">
        <f>IF(OR(J100="",K100="",I100="",AF100=0,AD100=""),"",(K100-J100)*AF100*I100*AD100*AE100)</f>
        <v/>
      </c>
      <c r="Q100" s="26" t="n"/>
      <c r="R100" s="28" t="str">
        <f>IF(Q100&lt;&gt;"",Q100,IF(P100="","",P100-N(N100)+N(O100)))</f>
        <v/>
      </c>
      <c r="S100" s="27" t="str">
        <f>IF(OR(L100="",J100="",I100="",AD100=""),"",ABS(J100-L100)*I100*AD100*AE100)</f>
        <v/>
      </c>
      <c r="T100" s="29" t="str">
        <f>IF(OR(R100="",S100="",S100=0),"",R100/S100)</f>
        <v/>
      </c>
      <c r="U100" s="20" t="str">
        <f>IF(R100="","",IF(R100&gt;0,"Ganadora",IF(R100&lt;0,"Perdedora","BE")))</f>
        <v/>
      </c>
      <c r="V100" s="23" t="n"/>
      <c r="W100" s="23" t="n"/>
      <c r="X100" s="23" t="n"/>
      <c r="Y100" s="23" t="n"/>
      <c r="Z100" s="23" t="n"/>
      <c r="AA100" s="23" t="n"/>
      <c r="AB100" s="30" t="n"/>
      <c r="AC100" s="1" t="n"/>
      <c r="AD100" s="1" t="str">
        <f>IF(G100="","",IFERROR(INDEX('Listas'!$N$6:$N$35,MATCH(G100,'Listas'!$M$6:$M$35,0)),""))</f>
        <v/>
      </c>
      <c r="AE100">
        <f>IF(G100="",1,IFERROR(INDEX('Listas'!$P$6:$P$35,MATCH(G100,'Listas'!$M$6:$M$35,0)),1))</f>
        <v>1</v>
      </c>
      <c r="AF100">
        <f>IF(H100="Compra",1,IF(H100="Venta",-1,0))</f>
        <v>0</v>
      </c>
      <c r="AG100">
        <f>IF(AND(D100&lt;&gt;"",ISNUMBER(R100)),1,0)</f>
        <v>0</v>
      </c>
      <c r="AH100">
        <f>IF(AG100=0,0,IF(OR('Panel'!$D$5="Todas las cuentas",'Panel'!$D$5="",F100='Panel'!$D$5),1,0))</f>
        <v>0</v>
      </c>
      <c r="AI100">
        <f>IF(AH100=0,0,IF(AND(OR('Panel'!$G$5="",D100&gt;='Panel'!$G$5),OR('Panel'!$J$5="",D100&lt;='Panel'!$J$5)),1,0))</f>
        <v>0</v>
      </c>
      <c r="AJ100">
        <f>IF(AI100=1,R100,0)</f>
        <v>0</v>
      </c>
      <c r="AK100" t="str">
        <f>IF(AI100=1,'Panel'!$AB$4+SUM($AJ$5:AJ100),"")</f>
        <v/>
      </c>
      <c r="AL100">
        <f>IF(AI100=0,N(AL99),IF(R100&lt;0,N(AL99)+1,0))</f>
        <v>1</v>
      </c>
      <c r="AM100">
        <f>IF(AI100=0,N(AM99),IF(R100&gt;0,N(AM99)+1,0))</f>
        <v>0</v>
      </c>
      <c r="AN100">
        <f>IF(AI100=1,MAX('Panel'!$AB$4,N(AN99),AK100),N(AN99))</f>
        <v>21371.061500000033</v>
      </c>
      <c r="AO100">
        <f>IF(AI100=1,AN100-AK100,0)</f>
        <v>0</v>
      </c>
      <c r="AP100">
        <f>IF(AND(AI100=1,AN100&gt;0),AO100/AN100,0)</f>
        <v>0</v>
      </c>
      <c r="AQ100" t="str">
        <f>IF(AI100=1,SUM($AI$5:AI100),"")</f>
        <v/>
      </c>
      <c r="AR100" t="str">
        <f>IF(AI100=1,IF(COUNTIFS($D$5:D100,D100,$AI$5:AI100,1)=1,SUMIFS($AJ$5:$AJ$504,$D$5:$D$504,D100),""),"")</f>
        <v/>
      </c>
      <c r="AS100" t="str">
        <f>IF(AG100=1,WEEKDAY(D100,2),"")</f>
        <v/>
      </c>
      <c r="AT100" s="31" t="str">
        <f>IF(AG100=1,DATE(YEAR(D100),MONTH(D100),1),"")</f>
        <v/>
      </c>
      <c r="AU100">
        <f>IF(AG100=0,0,IF(AND(OR('Prop challenge'!$D$7="",F100='Prop challenge'!$D$7),OR('Prop challenge'!$D$9="",D100&gt;='Prop challenge'!$D$9)),1,0))</f>
        <v>0</v>
      </c>
      <c r="AV100">
        <f>IF(AU100=1,IF(COUNTIFS($D$5:D100,D100,$AU$5:AU100,1)=1,1,0),0)</f>
        <v>0</v>
      </c>
      <c r="AW100" t="str">
        <f>IF(AV100=1,SUM($AV$5:AV100),"")</f>
        <v/>
      </c>
      <c r="AX100" t="str">
        <f>IF(AV100=1,SUMIFS($R$5:$R$504,$D$5:$D$504,D100,$AU$5:$AU$504,1),"")</f>
        <v/>
      </c>
    </row>
    <row r="101">
      <c r="A101" s="20" t="str">
        <f>IF(AG101=1,ROW()-4,"")</f>
        <v/>
      </c>
      <c r="B101" s="21" t="n"/>
      <c r="C101" s="22" t="n"/>
      <c r="D101" s="21" t="n"/>
      <c r="E101" s="22" t="n"/>
      <c r="F101" s="23" t="n"/>
      <c r="G101" s="23" t="n"/>
      <c r="H101" s="23" t="n"/>
      <c r="I101" s="24" t="n"/>
      <c r="J101" s="25" t="n"/>
      <c r="K101" s="25" t="n"/>
      <c r="L101" s="25" t="n"/>
      <c r="M101" s="25" t="n"/>
      <c r="N101" s="26" t="n"/>
      <c r="O101" s="26" t="n"/>
      <c r="P101" s="27" t="str">
        <f>IF(OR(J101="",K101="",I101="",AF101=0,AD101=""),"",(K101-J101)*AF101*I101*AD101*AE101)</f>
        <v/>
      </c>
      <c r="Q101" s="26" t="n"/>
      <c r="R101" s="28" t="str">
        <f>IF(Q101&lt;&gt;"",Q101,IF(P101="","",P101-N(N101)+N(O101)))</f>
        <v/>
      </c>
      <c r="S101" s="27" t="str">
        <f>IF(OR(L101="",J101="",I101="",AD101=""),"",ABS(J101-L101)*I101*AD101*AE101)</f>
        <v/>
      </c>
      <c r="T101" s="29" t="str">
        <f>IF(OR(R101="",S101="",S101=0),"",R101/S101)</f>
        <v/>
      </c>
      <c r="U101" s="20" t="str">
        <f>IF(R101="","",IF(R101&gt;0,"Ganadora",IF(R101&lt;0,"Perdedora","BE")))</f>
        <v/>
      </c>
      <c r="V101" s="23" t="n"/>
      <c r="W101" s="23" t="n"/>
      <c r="X101" s="23" t="n"/>
      <c r="Y101" s="23" t="n"/>
      <c r="Z101" s="23" t="n"/>
      <c r="AA101" s="23" t="n"/>
      <c r="AB101" s="30" t="n"/>
      <c r="AC101" s="1" t="n"/>
      <c r="AD101" s="1" t="str">
        <f>IF(G101="","",IFERROR(INDEX('Listas'!$N$6:$N$35,MATCH(G101,'Listas'!$M$6:$M$35,0)),""))</f>
        <v/>
      </c>
      <c r="AE101">
        <f>IF(G101="",1,IFERROR(INDEX('Listas'!$P$6:$P$35,MATCH(G101,'Listas'!$M$6:$M$35,0)),1))</f>
        <v>1</v>
      </c>
      <c r="AF101">
        <f>IF(H101="Compra",1,IF(H101="Venta",-1,0))</f>
        <v>0</v>
      </c>
      <c r="AG101">
        <f>IF(AND(D101&lt;&gt;"",ISNUMBER(R101)),1,0)</f>
        <v>0</v>
      </c>
      <c r="AH101">
        <f>IF(AG101=0,0,IF(OR('Panel'!$D$5="Todas las cuentas",'Panel'!$D$5="",F101='Panel'!$D$5),1,0))</f>
        <v>0</v>
      </c>
      <c r="AI101">
        <f>IF(AH101=0,0,IF(AND(OR('Panel'!$G$5="",D101&gt;='Panel'!$G$5),OR('Panel'!$J$5="",D101&lt;='Panel'!$J$5)),1,0))</f>
        <v>0</v>
      </c>
      <c r="AJ101">
        <f>IF(AI101=1,R101,0)</f>
        <v>0</v>
      </c>
      <c r="AK101" t="str">
        <f>IF(AI101=1,'Panel'!$AB$4+SUM($AJ$5:AJ101),"")</f>
        <v/>
      </c>
      <c r="AL101">
        <f>IF(AI101=0,N(AL100),IF(R101&lt;0,N(AL100)+1,0))</f>
        <v>1</v>
      </c>
      <c r="AM101">
        <f>IF(AI101=0,N(AM100),IF(R101&gt;0,N(AM100)+1,0))</f>
        <v>0</v>
      </c>
      <c r="AN101">
        <f>IF(AI101=1,MAX('Panel'!$AB$4,N(AN100),AK101),N(AN100))</f>
        <v>21371.061500000033</v>
      </c>
      <c r="AO101">
        <f>IF(AI101=1,AN101-AK101,0)</f>
        <v>0</v>
      </c>
      <c r="AP101">
        <f>IF(AND(AI101=1,AN101&gt;0),AO101/AN101,0)</f>
        <v>0</v>
      </c>
      <c r="AQ101" t="str">
        <f>IF(AI101=1,SUM($AI$5:AI101),"")</f>
        <v/>
      </c>
      <c r="AR101" t="str">
        <f>IF(AI101=1,IF(COUNTIFS($D$5:D101,D101,$AI$5:AI101,1)=1,SUMIFS($AJ$5:$AJ$504,$D$5:$D$504,D101),""),"")</f>
        <v/>
      </c>
      <c r="AS101" t="str">
        <f>IF(AG101=1,WEEKDAY(D101,2),"")</f>
        <v/>
      </c>
      <c r="AT101" s="31" t="str">
        <f>IF(AG101=1,DATE(YEAR(D101),MONTH(D101),1),"")</f>
        <v/>
      </c>
      <c r="AU101">
        <f>IF(AG101=0,0,IF(AND(OR('Prop challenge'!$D$7="",F101='Prop challenge'!$D$7),OR('Prop challenge'!$D$9="",D101&gt;='Prop challenge'!$D$9)),1,0))</f>
        <v>0</v>
      </c>
      <c r="AV101">
        <f>IF(AU101=1,IF(COUNTIFS($D$5:D101,D101,$AU$5:AU101,1)=1,1,0),0)</f>
        <v>0</v>
      </c>
      <c r="AW101" t="str">
        <f>IF(AV101=1,SUM($AV$5:AV101),"")</f>
        <v/>
      </c>
      <c r="AX101" t="str">
        <f>IF(AV101=1,SUMIFS($R$5:$R$504,$D$5:$D$504,D101,$AU$5:$AU$504,1),"")</f>
        <v/>
      </c>
    </row>
    <row r="102">
      <c r="A102" s="20" t="str">
        <f>IF(AG102=1,ROW()-4,"")</f>
        <v/>
      </c>
      <c r="B102" s="21" t="n"/>
      <c r="C102" s="22" t="n"/>
      <c r="D102" s="21" t="n"/>
      <c r="E102" s="22" t="n"/>
      <c r="F102" s="23" t="n"/>
      <c r="G102" s="23" t="n"/>
      <c r="H102" s="23" t="n"/>
      <c r="I102" s="24" t="n"/>
      <c r="J102" s="25" t="n"/>
      <c r="K102" s="25" t="n"/>
      <c r="L102" s="25" t="n"/>
      <c r="M102" s="25" t="n"/>
      <c r="N102" s="26" t="n"/>
      <c r="O102" s="26" t="n"/>
      <c r="P102" s="27" t="str">
        <f>IF(OR(J102="",K102="",I102="",AF102=0,AD102=""),"",(K102-J102)*AF102*I102*AD102*AE102)</f>
        <v/>
      </c>
      <c r="Q102" s="26" t="n"/>
      <c r="R102" s="28" t="str">
        <f>IF(Q102&lt;&gt;"",Q102,IF(P102="","",P102-N(N102)+N(O102)))</f>
        <v/>
      </c>
      <c r="S102" s="27" t="str">
        <f>IF(OR(L102="",J102="",I102="",AD102=""),"",ABS(J102-L102)*I102*AD102*AE102)</f>
        <v/>
      </c>
      <c r="T102" s="29" t="str">
        <f>IF(OR(R102="",S102="",S102=0),"",R102/S102)</f>
        <v/>
      </c>
      <c r="U102" s="20" t="str">
        <f>IF(R102="","",IF(R102&gt;0,"Ganadora",IF(R102&lt;0,"Perdedora","BE")))</f>
        <v/>
      </c>
      <c r="V102" s="23" t="n"/>
      <c r="W102" s="23" t="n"/>
      <c r="X102" s="23" t="n"/>
      <c r="Y102" s="23" t="n"/>
      <c r="Z102" s="23" t="n"/>
      <c r="AA102" s="23" t="n"/>
      <c r="AB102" s="30" t="n"/>
      <c r="AC102" s="1" t="n"/>
      <c r="AD102" s="1" t="str">
        <f>IF(G102="","",IFERROR(INDEX('Listas'!$N$6:$N$35,MATCH(G102,'Listas'!$M$6:$M$35,0)),""))</f>
        <v/>
      </c>
      <c r="AE102">
        <f>IF(G102="",1,IFERROR(INDEX('Listas'!$P$6:$P$35,MATCH(G102,'Listas'!$M$6:$M$35,0)),1))</f>
        <v>1</v>
      </c>
      <c r="AF102">
        <f>IF(H102="Compra",1,IF(H102="Venta",-1,0))</f>
        <v>0</v>
      </c>
      <c r="AG102">
        <f>IF(AND(D102&lt;&gt;"",ISNUMBER(R102)),1,0)</f>
        <v>0</v>
      </c>
      <c r="AH102">
        <f>IF(AG102=0,0,IF(OR('Panel'!$D$5="Todas las cuentas",'Panel'!$D$5="",F102='Panel'!$D$5),1,0))</f>
        <v>0</v>
      </c>
      <c r="AI102">
        <f>IF(AH102=0,0,IF(AND(OR('Panel'!$G$5="",D102&gt;='Panel'!$G$5),OR('Panel'!$J$5="",D102&lt;='Panel'!$J$5)),1,0))</f>
        <v>0</v>
      </c>
      <c r="AJ102">
        <f>IF(AI102=1,R102,0)</f>
        <v>0</v>
      </c>
      <c r="AK102" t="str">
        <f>IF(AI102=1,'Panel'!$AB$4+SUM($AJ$5:AJ102),"")</f>
        <v/>
      </c>
      <c r="AL102">
        <f>IF(AI102=0,N(AL101),IF(R102&lt;0,N(AL101)+1,0))</f>
        <v>1</v>
      </c>
      <c r="AM102">
        <f>IF(AI102=0,N(AM101),IF(R102&gt;0,N(AM101)+1,0))</f>
        <v>0</v>
      </c>
      <c r="AN102">
        <f>IF(AI102=1,MAX('Panel'!$AB$4,N(AN101),AK102),N(AN101))</f>
        <v>21371.061500000033</v>
      </c>
      <c r="AO102">
        <f>IF(AI102=1,AN102-AK102,0)</f>
        <v>0</v>
      </c>
      <c r="AP102">
        <f>IF(AND(AI102=1,AN102&gt;0),AO102/AN102,0)</f>
        <v>0</v>
      </c>
      <c r="AQ102" t="str">
        <f>IF(AI102=1,SUM($AI$5:AI102),"")</f>
        <v/>
      </c>
      <c r="AR102" t="str">
        <f>IF(AI102=1,IF(COUNTIFS($D$5:D102,D102,$AI$5:AI102,1)=1,SUMIFS($AJ$5:$AJ$504,$D$5:$D$504,D102),""),"")</f>
        <v/>
      </c>
      <c r="AS102" t="str">
        <f>IF(AG102=1,WEEKDAY(D102,2),"")</f>
        <v/>
      </c>
      <c r="AT102" s="31" t="str">
        <f>IF(AG102=1,DATE(YEAR(D102),MONTH(D102),1),"")</f>
        <v/>
      </c>
      <c r="AU102">
        <f>IF(AG102=0,0,IF(AND(OR('Prop challenge'!$D$7="",F102='Prop challenge'!$D$7),OR('Prop challenge'!$D$9="",D102&gt;='Prop challenge'!$D$9)),1,0))</f>
        <v>0</v>
      </c>
      <c r="AV102">
        <f>IF(AU102=1,IF(COUNTIFS($D$5:D102,D102,$AU$5:AU102,1)=1,1,0),0)</f>
        <v>0</v>
      </c>
      <c r="AW102" t="str">
        <f>IF(AV102=1,SUM($AV$5:AV102),"")</f>
        <v/>
      </c>
      <c r="AX102" t="str">
        <f>IF(AV102=1,SUMIFS($R$5:$R$504,$D$5:$D$504,D102,$AU$5:$AU$504,1),"")</f>
        <v/>
      </c>
    </row>
    <row r="103">
      <c r="A103" s="20" t="str">
        <f>IF(AG103=1,ROW()-4,"")</f>
        <v/>
      </c>
      <c r="B103" s="21" t="n"/>
      <c r="C103" s="22" t="n"/>
      <c r="D103" s="21" t="n"/>
      <c r="E103" s="22" t="n"/>
      <c r="F103" s="23" t="n"/>
      <c r="G103" s="23" t="n"/>
      <c r="H103" s="23" t="n"/>
      <c r="I103" s="24" t="n"/>
      <c r="J103" s="25" t="n"/>
      <c r="K103" s="25" t="n"/>
      <c r="L103" s="25" t="n"/>
      <c r="M103" s="25" t="n"/>
      <c r="N103" s="26" t="n"/>
      <c r="O103" s="26" t="n"/>
      <c r="P103" s="27" t="str">
        <f>IF(OR(J103="",K103="",I103="",AF103=0,AD103=""),"",(K103-J103)*AF103*I103*AD103*AE103)</f>
        <v/>
      </c>
      <c r="Q103" s="26" t="n"/>
      <c r="R103" s="28" t="str">
        <f>IF(Q103&lt;&gt;"",Q103,IF(P103="","",P103-N(N103)+N(O103)))</f>
        <v/>
      </c>
      <c r="S103" s="27" t="str">
        <f>IF(OR(L103="",J103="",I103="",AD103=""),"",ABS(J103-L103)*I103*AD103*AE103)</f>
        <v/>
      </c>
      <c r="T103" s="29" t="str">
        <f>IF(OR(R103="",S103="",S103=0),"",R103/S103)</f>
        <v/>
      </c>
      <c r="U103" s="20" t="str">
        <f>IF(R103="","",IF(R103&gt;0,"Ganadora",IF(R103&lt;0,"Perdedora","BE")))</f>
        <v/>
      </c>
      <c r="V103" s="23" t="n"/>
      <c r="W103" s="23" t="n"/>
      <c r="X103" s="23" t="n"/>
      <c r="Y103" s="23" t="n"/>
      <c r="Z103" s="23" t="n"/>
      <c r="AA103" s="23" t="n"/>
      <c r="AB103" s="30" t="n"/>
      <c r="AC103" s="1" t="n"/>
      <c r="AD103" s="1" t="str">
        <f>IF(G103="","",IFERROR(INDEX('Listas'!$N$6:$N$35,MATCH(G103,'Listas'!$M$6:$M$35,0)),""))</f>
        <v/>
      </c>
      <c r="AE103">
        <f>IF(G103="",1,IFERROR(INDEX('Listas'!$P$6:$P$35,MATCH(G103,'Listas'!$M$6:$M$35,0)),1))</f>
        <v>1</v>
      </c>
      <c r="AF103">
        <f>IF(H103="Compra",1,IF(H103="Venta",-1,0))</f>
        <v>0</v>
      </c>
      <c r="AG103">
        <f>IF(AND(D103&lt;&gt;"",ISNUMBER(R103)),1,0)</f>
        <v>0</v>
      </c>
      <c r="AH103">
        <f>IF(AG103=0,0,IF(OR('Panel'!$D$5="Todas las cuentas",'Panel'!$D$5="",F103='Panel'!$D$5),1,0))</f>
        <v>0</v>
      </c>
      <c r="AI103">
        <f>IF(AH103=0,0,IF(AND(OR('Panel'!$G$5="",D103&gt;='Panel'!$G$5),OR('Panel'!$J$5="",D103&lt;='Panel'!$J$5)),1,0))</f>
        <v>0</v>
      </c>
      <c r="AJ103">
        <f>IF(AI103=1,R103,0)</f>
        <v>0</v>
      </c>
      <c r="AK103" t="str">
        <f>IF(AI103=1,'Panel'!$AB$4+SUM($AJ$5:AJ103),"")</f>
        <v/>
      </c>
      <c r="AL103">
        <f>IF(AI103=0,N(AL102),IF(R103&lt;0,N(AL102)+1,0))</f>
        <v>1</v>
      </c>
      <c r="AM103">
        <f>IF(AI103=0,N(AM102),IF(R103&gt;0,N(AM102)+1,0))</f>
        <v>0</v>
      </c>
      <c r="AN103">
        <f>IF(AI103=1,MAX('Panel'!$AB$4,N(AN102),AK103),N(AN102))</f>
        <v>21371.061500000033</v>
      </c>
      <c r="AO103">
        <f>IF(AI103=1,AN103-AK103,0)</f>
        <v>0</v>
      </c>
      <c r="AP103">
        <f>IF(AND(AI103=1,AN103&gt;0),AO103/AN103,0)</f>
        <v>0</v>
      </c>
      <c r="AQ103" t="str">
        <f>IF(AI103=1,SUM($AI$5:AI103),"")</f>
        <v/>
      </c>
      <c r="AR103" t="str">
        <f>IF(AI103=1,IF(COUNTIFS($D$5:D103,D103,$AI$5:AI103,1)=1,SUMIFS($AJ$5:$AJ$504,$D$5:$D$504,D103),""),"")</f>
        <v/>
      </c>
      <c r="AS103" t="str">
        <f>IF(AG103=1,WEEKDAY(D103,2),"")</f>
        <v/>
      </c>
      <c r="AT103" s="31" t="str">
        <f>IF(AG103=1,DATE(YEAR(D103),MONTH(D103),1),"")</f>
        <v/>
      </c>
      <c r="AU103">
        <f>IF(AG103=0,0,IF(AND(OR('Prop challenge'!$D$7="",F103='Prop challenge'!$D$7),OR('Prop challenge'!$D$9="",D103&gt;='Prop challenge'!$D$9)),1,0))</f>
        <v>0</v>
      </c>
      <c r="AV103">
        <f>IF(AU103=1,IF(COUNTIFS($D$5:D103,D103,$AU$5:AU103,1)=1,1,0),0)</f>
        <v>0</v>
      </c>
      <c r="AW103" t="str">
        <f>IF(AV103=1,SUM($AV$5:AV103),"")</f>
        <v/>
      </c>
      <c r="AX103" t="str">
        <f>IF(AV103=1,SUMIFS($R$5:$R$504,$D$5:$D$504,D103,$AU$5:$AU$504,1),"")</f>
        <v/>
      </c>
    </row>
    <row r="104">
      <c r="A104" s="20" t="str">
        <f>IF(AG104=1,ROW()-4,"")</f>
        <v/>
      </c>
      <c r="B104" s="21" t="n"/>
      <c r="C104" s="22" t="n"/>
      <c r="D104" s="21" t="n"/>
      <c r="E104" s="22" t="n"/>
      <c r="F104" s="23" t="n"/>
      <c r="G104" s="23" t="n"/>
      <c r="H104" s="23" t="n"/>
      <c r="I104" s="24" t="n"/>
      <c r="J104" s="25" t="n"/>
      <c r="K104" s="25" t="n"/>
      <c r="L104" s="25" t="n"/>
      <c r="M104" s="25" t="n"/>
      <c r="N104" s="26" t="n"/>
      <c r="O104" s="26" t="n"/>
      <c r="P104" s="27" t="str">
        <f>IF(OR(J104="",K104="",I104="",AF104=0,AD104=""),"",(K104-J104)*AF104*I104*AD104*AE104)</f>
        <v/>
      </c>
      <c r="Q104" s="26" t="n"/>
      <c r="R104" s="28" t="str">
        <f>IF(Q104&lt;&gt;"",Q104,IF(P104="","",P104-N(N104)+N(O104)))</f>
        <v/>
      </c>
      <c r="S104" s="27" t="str">
        <f>IF(OR(L104="",J104="",I104="",AD104=""),"",ABS(J104-L104)*I104*AD104*AE104)</f>
        <v/>
      </c>
      <c r="T104" s="29" t="str">
        <f>IF(OR(R104="",S104="",S104=0),"",R104/S104)</f>
        <v/>
      </c>
      <c r="U104" s="20" t="str">
        <f>IF(R104="","",IF(R104&gt;0,"Ganadora",IF(R104&lt;0,"Perdedora","BE")))</f>
        <v/>
      </c>
      <c r="V104" s="23" t="n"/>
      <c r="W104" s="23" t="n"/>
      <c r="X104" s="23" t="n"/>
      <c r="Y104" s="23" t="n"/>
      <c r="Z104" s="23" t="n"/>
      <c r="AA104" s="23" t="n"/>
      <c r="AB104" s="30" t="n"/>
      <c r="AC104" s="1" t="n"/>
      <c r="AD104" s="1" t="str">
        <f>IF(G104="","",IFERROR(INDEX('Listas'!$N$6:$N$35,MATCH(G104,'Listas'!$M$6:$M$35,0)),""))</f>
        <v/>
      </c>
      <c r="AE104">
        <f>IF(G104="",1,IFERROR(INDEX('Listas'!$P$6:$P$35,MATCH(G104,'Listas'!$M$6:$M$35,0)),1))</f>
        <v>1</v>
      </c>
      <c r="AF104">
        <f>IF(H104="Compra",1,IF(H104="Venta",-1,0))</f>
        <v>0</v>
      </c>
      <c r="AG104">
        <f>IF(AND(D104&lt;&gt;"",ISNUMBER(R104)),1,0)</f>
        <v>0</v>
      </c>
      <c r="AH104">
        <f>IF(AG104=0,0,IF(OR('Panel'!$D$5="Todas las cuentas",'Panel'!$D$5="",F104='Panel'!$D$5),1,0))</f>
        <v>0</v>
      </c>
      <c r="AI104">
        <f>IF(AH104=0,0,IF(AND(OR('Panel'!$G$5="",D104&gt;='Panel'!$G$5),OR('Panel'!$J$5="",D104&lt;='Panel'!$J$5)),1,0))</f>
        <v>0</v>
      </c>
      <c r="AJ104">
        <f>IF(AI104=1,R104,0)</f>
        <v>0</v>
      </c>
      <c r="AK104" t="str">
        <f>IF(AI104=1,'Panel'!$AB$4+SUM($AJ$5:AJ104),"")</f>
        <v/>
      </c>
      <c r="AL104">
        <f>IF(AI104=0,N(AL103),IF(R104&lt;0,N(AL103)+1,0))</f>
        <v>1</v>
      </c>
      <c r="AM104">
        <f>IF(AI104=0,N(AM103),IF(R104&gt;0,N(AM103)+1,0))</f>
        <v>0</v>
      </c>
      <c r="AN104">
        <f>IF(AI104=1,MAX('Panel'!$AB$4,N(AN103),AK104),N(AN103))</f>
        <v>21371.061500000033</v>
      </c>
      <c r="AO104">
        <f>IF(AI104=1,AN104-AK104,0)</f>
        <v>0</v>
      </c>
      <c r="AP104">
        <f>IF(AND(AI104=1,AN104&gt;0),AO104/AN104,0)</f>
        <v>0</v>
      </c>
      <c r="AQ104" t="str">
        <f>IF(AI104=1,SUM($AI$5:AI104),"")</f>
        <v/>
      </c>
      <c r="AR104" t="str">
        <f>IF(AI104=1,IF(COUNTIFS($D$5:D104,D104,$AI$5:AI104,1)=1,SUMIFS($AJ$5:$AJ$504,$D$5:$D$504,D104),""),"")</f>
        <v/>
      </c>
      <c r="AS104" t="str">
        <f>IF(AG104=1,WEEKDAY(D104,2),"")</f>
        <v/>
      </c>
      <c r="AT104" s="31" t="str">
        <f>IF(AG104=1,DATE(YEAR(D104),MONTH(D104),1),"")</f>
        <v/>
      </c>
      <c r="AU104">
        <f>IF(AG104=0,0,IF(AND(OR('Prop challenge'!$D$7="",F104='Prop challenge'!$D$7),OR('Prop challenge'!$D$9="",D104&gt;='Prop challenge'!$D$9)),1,0))</f>
        <v>0</v>
      </c>
      <c r="AV104">
        <f>IF(AU104=1,IF(COUNTIFS($D$5:D104,D104,$AU$5:AU104,1)=1,1,0),0)</f>
        <v>0</v>
      </c>
      <c r="AW104" t="str">
        <f>IF(AV104=1,SUM($AV$5:AV104),"")</f>
        <v/>
      </c>
      <c r="AX104" t="str">
        <f>IF(AV104=1,SUMIFS($R$5:$R$504,$D$5:$D$504,D104,$AU$5:$AU$504,1),"")</f>
        <v/>
      </c>
    </row>
    <row r="105">
      <c r="A105" s="20" t="str">
        <f>IF(AG105=1,ROW()-4,"")</f>
        <v/>
      </c>
      <c r="B105" s="21" t="n"/>
      <c r="C105" s="22" t="n"/>
      <c r="D105" s="21" t="n"/>
      <c r="E105" s="22" t="n"/>
      <c r="F105" s="23" t="n"/>
      <c r="G105" s="23" t="n"/>
      <c r="H105" s="23" t="n"/>
      <c r="I105" s="24" t="n"/>
      <c r="J105" s="25" t="n"/>
      <c r="K105" s="25" t="n"/>
      <c r="L105" s="25" t="n"/>
      <c r="M105" s="25" t="n"/>
      <c r="N105" s="26" t="n"/>
      <c r="O105" s="26" t="n"/>
      <c r="P105" s="27" t="str">
        <f>IF(OR(J105="",K105="",I105="",AF105=0,AD105=""),"",(K105-J105)*AF105*I105*AD105*AE105)</f>
        <v/>
      </c>
      <c r="Q105" s="26" t="n"/>
      <c r="R105" s="28" t="str">
        <f>IF(Q105&lt;&gt;"",Q105,IF(P105="","",P105-N(N105)+N(O105)))</f>
        <v/>
      </c>
      <c r="S105" s="27" t="str">
        <f>IF(OR(L105="",J105="",I105="",AD105=""),"",ABS(J105-L105)*I105*AD105*AE105)</f>
        <v/>
      </c>
      <c r="T105" s="29" t="str">
        <f>IF(OR(R105="",S105="",S105=0),"",R105/S105)</f>
        <v/>
      </c>
      <c r="U105" s="20" t="str">
        <f>IF(R105="","",IF(R105&gt;0,"Ganadora",IF(R105&lt;0,"Perdedora","BE")))</f>
        <v/>
      </c>
      <c r="V105" s="23" t="n"/>
      <c r="W105" s="23" t="n"/>
      <c r="X105" s="23" t="n"/>
      <c r="Y105" s="23" t="n"/>
      <c r="Z105" s="23" t="n"/>
      <c r="AA105" s="23" t="n"/>
      <c r="AB105" s="30" t="n"/>
      <c r="AC105" s="1" t="n"/>
      <c r="AD105" s="1" t="str">
        <f>IF(G105="","",IFERROR(INDEX('Listas'!$N$6:$N$35,MATCH(G105,'Listas'!$M$6:$M$35,0)),""))</f>
        <v/>
      </c>
      <c r="AE105">
        <f>IF(G105="",1,IFERROR(INDEX('Listas'!$P$6:$P$35,MATCH(G105,'Listas'!$M$6:$M$35,0)),1))</f>
        <v>1</v>
      </c>
      <c r="AF105">
        <f>IF(H105="Compra",1,IF(H105="Venta",-1,0))</f>
        <v>0</v>
      </c>
      <c r="AG105">
        <f>IF(AND(D105&lt;&gt;"",ISNUMBER(R105)),1,0)</f>
        <v>0</v>
      </c>
      <c r="AH105">
        <f>IF(AG105=0,0,IF(OR('Panel'!$D$5="Todas las cuentas",'Panel'!$D$5="",F105='Panel'!$D$5),1,0))</f>
        <v>0</v>
      </c>
      <c r="AI105">
        <f>IF(AH105=0,0,IF(AND(OR('Panel'!$G$5="",D105&gt;='Panel'!$G$5),OR('Panel'!$J$5="",D105&lt;='Panel'!$J$5)),1,0))</f>
        <v>0</v>
      </c>
      <c r="AJ105">
        <f>IF(AI105=1,R105,0)</f>
        <v>0</v>
      </c>
      <c r="AK105" t="str">
        <f>IF(AI105=1,'Panel'!$AB$4+SUM($AJ$5:AJ105),"")</f>
        <v/>
      </c>
      <c r="AL105">
        <f>IF(AI105=0,N(AL104),IF(R105&lt;0,N(AL104)+1,0))</f>
        <v>1</v>
      </c>
      <c r="AM105">
        <f>IF(AI105=0,N(AM104),IF(R105&gt;0,N(AM104)+1,0))</f>
        <v>0</v>
      </c>
      <c r="AN105">
        <f>IF(AI105=1,MAX('Panel'!$AB$4,N(AN104),AK105),N(AN104))</f>
        <v>21371.061500000033</v>
      </c>
      <c r="AO105">
        <f>IF(AI105=1,AN105-AK105,0)</f>
        <v>0</v>
      </c>
      <c r="AP105">
        <f>IF(AND(AI105=1,AN105&gt;0),AO105/AN105,0)</f>
        <v>0</v>
      </c>
      <c r="AQ105" t="str">
        <f>IF(AI105=1,SUM($AI$5:AI105),"")</f>
        <v/>
      </c>
      <c r="AR105" t="str">
        <f>IF(AI105=1,IF(COUNTIFS($D$5:D105,D105,$AI$5:AI105,1)=1,SUMIFS($AJ$5:$AJ$504,$D$5:$D$504,D105),""),"")</f>
        <v/>
      </c>
      <c r="AS105" t="str">
        <f>IF(AG105=1,WEEKDAY(D105,2),"")</f>
        <v/>
      </c>
      <c r="AT105" s="31" t="str">
        <f>IF(AG105=1,DATE(YEAR(D105),MONTH(D105),1),"")</f>
        <v/>
      </c>
      <c r="AU105">
        <f>IF(AG105=0,0,IF(AND(OR('Prop challenge'!$D$7="",F105='Prop challenge'!$D$7),OR('Prop challenge'!$D$9="",D105&gt;='Prop challenge'!$D$9)),1,0))</f>
        <v>0</v>
      </c>
      <c r="AV105">
        <f>IF(AU105=1,IF(COUNTIFS($D$5:D105,D105,$AU$5:AU105,1)=1,1,0),0)</f>
        <v>0</v>
      </c>
      <c r="AW105" t="str">
        <f>IF(AV105=1,SUM($AV$5:AV105),"")</f>
        <v/>
      </c>
      <c r="AX105" t="str">
        <f>IF(AV105=1,SUMIFS($R$5:$R$504,$D$5:$D$504,D105,$AU$5:$AU$504,1),"")</f>
        <v/>
      </c>
    </row>
    <row r="106">
      <c r="A106" s="20" t="str">
        <f>IF(AG106=1,ROW()-4,"")</f>
        <v/>
      </c>
      <c r="B106" s="21" t="n"/>
      <c r="C106" s="22" t="n"/>
      <c r="D106" s="21" t="n"/>
      <c r="E106" s="22" t="n"/>
      <c r="F106" s="23" t="n"/>
      <c r="G106" s="23" t="n"/>
      <c r="H106" s="23" t="n"/>
      <c r="I106" s="24" t="n"/>
      <c r="J106" s="25" t="n"/>
      <c r="K106" s="25" t="n"/>
      <c r="L106" s="25" t="n"/>
      <c r="M106" s="25" t="n"/>
      <c r="N106" s="26" t="n"/>
      <c r="O106" s="26" t="n"/>
      <c r="P106" s="27" t="str">
        <f>IF(OR(J106="",K106="",I106="",AF106=0,AD106=""),"",(K106-J106)*AF106*I106*AD106*AE106)</f>
        <v/>
      </c>
      <c r="Q106" s="26" t="n"/>
      <c r="R106" s="28" t="str">
        <f>IF(Q106&lt;&gt;"",Q106,IF(P106="","",P106-N(N106)+N(O106)))</f>
        <v/>
      </c>
      <c r="S106" s="27" t="str">
        <f>IF(OR(L106="",J106="",I106="",AD106=""),"",ABS(J106-L106)*I106*AD106*AE106)</f>
        <v/>
      </c>
      <c r="T106" s="29" t="str">
        <f>IF(OR(R106="",S106="",S106=0),"",R106/S106)</f>
        <v/>
      </c>
      <c r="U106" s="20" t="str">
        <f>IF(R106="","",IF(R106&gt;0,"Ganadora",IF(R106&lt;0,"Perdedora","BE")))</f>
        <v/>
      </c>
      <c r="V106" s="23" t="n"/>
      <c r="W106" s="23" t="n"/>
      <c r="X106" s="23" t="n"/>
      <c r="Y106" s="23" t="n"/>
      <c r="Z106" s="23" t="n"/>
      <c r="AA106" s="23" t="n"/>
      <c r="AB106" s="30" t="n"/>
      <c r="AC106" s="1" t="n"/>
      <c r="AD106" s="1" t="str">
        <f>IF(G106="","",IFERROR(INDEX('Listas'!$N$6:$N$35,MATCH(G106,'Listas'!$M$6:$M$35,0)),""))</f>
        <v/>
      </c>
      <c r="AE106">
        <f>IF(G106="",1,IFERROR(INDEX('Listas'!$P$6:$P$35,MATCH(G106,'Listas'!$M$6:$M$35,0)),1))</f>
        <v>1</v>
      </c>
      <c r="AF106">
        <f>IF(H106="Compra",1,IF(H106="Venta",-1,0))</f>
        <v>0</v>
      </c>
      <c r="AG106">
        <f>IF(AND(D106&lt;&gt;"",ISNUMBER(R106)),1,0)</f>
        <v>0</v>
      </c>
      <c r="AH106">
        <f>IF(AG106=0,0,IF(OR('Panel'!$D$5="Todas las cuentas",'Panel'!$D$5="",F106='Panel'!$D$5),1,0))</f>
        <v>0</v>
      </c>
      <c r="AI106">
        <f>IF(AH106=0,0,IF(AND(OR('Panel'!$G$5="",D106&gt;='Panel'!$G$5),OR('Panel'!$J$5="",D106&lt;='Panel'!$J$5)),1,0))</f>
        <v>0</v>
      </c>
      <c r="AJ106">
        <f>IF(AI106=1,R106,0)</f>
        <v>0</v>
      </c>
      <c r="AK106" t="str">
        <f>IF(AI106=1,'Panel'!$AB$4+SUM($AJ$5:AJ106),"")</f>
        <v/>
      </c>
      <c r="AL106">
        <f>IF(AI106=0,N(AL105),IF(R106&lt;0,N(AL105)+1,0))</f>
        <v>1</v>
      </c>
      <c r="AM106">
        <f>IF(AI106=0,N(AM105),IF(R106&gt;0,N(AM105)+1,0))</f>
        <v>0</v>
      </c>
      <c r="AN106">
        <f>IF(AI106=1,MAX('Panel'!$AB$4,N(AN105),AK106),N(AN105))</f>
        <v>21371.061500000033</v>
      </c>
      <c r="AO106">
        <f>IF(AI106=1,AN106-AK106,0)</f>
        <v>0</v>
      </c>
      <c r="AP106">
        <f>IF(AND(AI106=1,AN106&gt;0),AO106/AN106,0)</f>
        <v>0</v>
      </c>
      <c r="AQ106" t="str">
        <f>IF(AI106=1,SUM($AI$5:AI106),"")</f>
        <v/>
      </c>
      <c r="AR106" t="str">
        <f>IF(AI106=1,IF(COUNTIFS($D$5:D106,D106,$AI$5:AI106,1)=1,SUMIFS($AJ$5:$AJ$504,$D$5:$D$504,D106),""),"")</f>
        <v/>
      </c>
      <c r="AS106" t="str">
        <f>IF(AG106=1,WEEKDAY(D106,2),"")</f>
        <v/>
      </c>
      <c r="AT106" s="31" t="str">
        <f>IF(AG106=1,DATE(YEAR(D106),MONTH(D106),1),"")</f>
        <v/>
      </c>
      <c r="AU106">
        <f>IF(AG106=0,0,IF(AND(OR('Prop challenge'!$D$7="",F106='Prop challenge'!$D$7),OR('Prop challenge'!$D$9="",D106&gt;='Prop challenge'!$D$9)),1,0))</f>
        <v>0</v>
      </c>
      <c r="AV106">
        <f>IF(AU106=1,IF(COUNTIFS($D$5:D106,D106,$AU$5:AU106,1)=1,1,0),0)</f>
        <v>0</v>
      </c>
      <c r="AW106" t="str">
        <f>IF(AV106=1,SUM($AV$5:AV106),"")</f>
        <v/>
      </c>
      <c r="AX106" t="str">
        <f>IF(AV106=1,SUMIFS($R$5:$R$504,$D$5:$D$504,D106,$AU$5:$AU$504,1),"")</f>
        <v/>
      </c>
    </row>
    <row r="107">
      <c r="A107" s="20" t="str">
        <f>IF(AG107=1,ROW()-4,"")</f>
        <v/>
      </c>
      <c r="B107" s="21" t="n"/>
      <c r="C107" s="22" t="n"/>
      <c r="D107" s="21" t="n"/>
      <c r="E107" s="22" t="n"/>
      <c r="F107" s="23" t="n"/>
      <c r="G107" s="23" t="n"/>
      <c r="H107" s="23" t="n"/>
      <c r="I107" s="24" t="n"/>
      <c r="J107" s="25" t="n"/>
      <c r="K107" s="25" t="n"/>
      <c r="L107" s="25" t="n"/>
      <c r="M107" s="25" t="n"/>
      <c r="N107" s="26" t="n"/>
      <c r="O107" s="26" t="n"/>
      <c r="P107" s="27" t="str">
        <f>IF(OR(J107="",K107="",I107="",AF107=0,AD107=""),"",(K107-J107)*AF107*I107*AD107*AE107)</f>
        <v/>
      </c>
      <c r="Q107" s="26" t="n"/>
      <c r="R107" s="28" t="str">
        <f>IF(Q107&lt;&gt;"",Q107,IF(P107="","",P107-N(N107)+N(O107)))</f>
        <v/>
      </c>
      <c r="S107" s="27" t="str">
        <f>IF(OR(L107="",J107="",I107="",AD107=""),"",ABS(J107-L107)*I107*AD107*AE107)</f>
        <v/>
      </c>
      <c r="T107" s="29" t="str">
        <f>IF(OR(R107="",S107="",S107=0),"",R107/S107)</f>
        <v/>
      </c>
      <c r="U107" s="20" t="str">
        <f>IF(R107="","",IF(R107&gt;0,"Ganadora",IF(R107&lt;0,"Perdedora","BE")))</f>
        <v/>
      </c>
      <c r="V107" s="23" t="n"/>
      <c r="W107" s="23" t="n"/>
      <c r="X107" s="23" t="n"/>
      <c r="Y107" s="23" t="n"/>
      <c r="Z107" s="23" t="n"/>
      <c r="AA107" s="23" t="n"/>
      <c r="AB107" s="30" t="n"/>
      <c r="AC107" s="1" t="n"/>
      <c r="AD107" s="1" t="str">
        <f>IF(G107="","",IFERROR(INDEX('Listas'!$N$6:$N$35,MATCH(G107,'Listas'!$M$6:$M$35,0)),""))</f>
        <v/>
      </c>
      <c r="AE107">
        <f>IF(G107="",1,IFERROR(INDEX('Listas'!$P$6:$P$35,MATCH(G107,'Listas'!$M$6:$M$35,0)),1))</f>
        <v>1</v>
      </c>
      <c r="AF107">
        <f>IF(H107="Compra",1,IF(H107="Venta",-1,0))</f>
        <v>0</v>
      </c>
      <c r="AG107">
        <f>IF(AND(D107&lt;&gt;"",ISNUMBER(R107)),1,0)</f>
        <v>0</v>
      </c>
      <c r="AH107">
        <f>IF(AG107=0,0,IF(OR('Panel'!$D$5="Todas las cuentas",'Panel'!$D$5="",F107='Panel'!$D$5),1,0))</f>
        <v>0</v>
      </c>
      <c r="AI107">
        <f>IF(AH107=0,0,IF(AND(OR('Panel'!$G$5="",D107&gt;='Panel'!$G$5),OR('Panel'!$J$5="",D107&lt;='Panel'!$J$5)),1,0))</f>
        <v>0</v>
      </c>
      <c r="AJ107">
        <f>IF(AI107=1,R107,0)</f>
        <v>0</v>
      </c>
      <c r="AK107" t="str">
        <f>IF(AI107=1,'Panel'!$AB$4+SUM($AJ$5:AJ107),"")</f>
        <v/>
      </c>
      <c r="AL107">
        <f>IF(AI107=0,N(AL106),IF(R107&lt;0,N(AL106)+1,0))</f>
        <v>1</v>
      </c>
      <c r="AM107">
        <f>IF(AI107=0,N(AM106),IF(R107&gt;0,N(AM106)+1,0))</f>
        <v>0</v>
      </c>
      <c r="AN107">
        <f>IF(AI107=1,MAX('Panel'!$AB$4,N(AN106),AK107),N(AN106))</f>
        <v>21371.061500000033</v>
      </c>
      <c r="AO107">
        <f>IF(AI107=1,AN107-AK107,0)</f>
        <v>0</v>
      </c>
      <c r="AP107">
        <f>IF(AND(AI107=1,AN107&gt;0),AO107/AN107,0)</f>
        <v>0</v>
      </c>
      <c r="AQ107" t="str">
        <f>IF(AI107=1,SUM($AI$5:AI107),"")</f>
        <v/>
      </c>
      <c r="AR107" t="str">
        <f>IF(AI107=1,IF(COUNTIFS($D$5:D107,D107,$AI$5:AI107,1)=1,SUMIFS($AJ$5:$AJ$504,$D$5:$D$504,D107),""),"")</f>
        <v/>
      </c>
      <c r="AS107" t="str">
        <f>IF(AG107=1,WEEKDAY(D107,2),"")</f>
        <v/>
      </c>
      <c r="AT107" s="31" t="str">
        <f>IF(AG107=1,DATE(YEAR(D107),MONTH(D107),1),"")</f>
        <v/>
      </c>
      <c r="AU107">
        <f>IF(AG107=0,0,IF(AND(OR('Prop challenge'!$D$7="",F107='Prop challenge'!$D$7),OR('Prop challenge'!$D$9="",D107&gt;='Prop challenge'!$D$9)),1,0))</f>
        <v>0</v>
      </c>
      <c r="AV107">
        <f>IF(AU107=1,IF(COUNTIFS($D$5:D107,D107,$AU$5:AU107,1)=1,1,0),0)</f>
        <v>0</v>
      </c>
      <c r="AW107" t="str">
        <f>IF(AV107=1,SUM($AV$5:AV107),"")</f>
        <v/>
      </c>
      <c r="AX107" t="str">
        <f>IF(AV107=1,SUMIFS($R$5:$R$504,$D$5:$D$504,D107,$AU$5:$AU$504,1),"")</f>
        <v/>
      </c>
    </row>
    <row r="108">
      <c r="A108" s="20" t="str">
        <f>IF(AG108=1,ROW()-4,"")</f>
        <v/>
      </c>
      <c r="B108" s="21" t="n"/>
      <c r="C108" s="22" t="n"/>
      <c r="D108" s="21" t="n"/>
      <c r="E108" s="22" t="n"/>
      <c r="F108" s="23" t="n"/>
      <c r="G108" s="23" t="n"/>
      <c r="H108" s="23" t="n"/>
      <c r="I108" s="24" t="n"/>
      <c r="J108" s="25" t="n"/>
      <c r="K108" s="25" t="n"/>
      <c r="L108" s="25" t="n"/>
      <c r="M108" s="25" t="n"/>
      <c r="N108" s="26" t="n"/>
      <c r="O108" s="26" t="n"/>
      <c r="P108" s="27" t="str">
        <f>IF(OR(J108="",K108="",I108="",AF108=0,AD108=""),"",(K108-J108)*AF108*I108*AD108*AE108)</f>
        <v/>
      </c>
      <c r="Q108" s="26" t="n"/>
      <c r="R108" s="28" t="str">
        <f>IF(Q108&lt;&gt;"",Q108,IF(P108="","",P108-N(N108)+N(O108)))</f>
        <v/>
      </c>
      <c r="S108" s="27" t="str">
        <f>IF(OR(L108="",J108="",I108="",AD108=""),"",ABS(J108-L108)*I108*AD108*AE108)</f>
        <v/>
      </c>
      <c r="T108" s="29" t="str">
        <f>IF(OR(R108="",S108="",S108=0),"",R108/S108)</f>
        <v/>
      </c>
      <c r="U108" s="20" t="str">
        <f>IF(R108="","",IF(R108&gt;0,"Ganadora",IF(R108&lt;0,"Perdedora","BE")))</f>
        <v/>
      </c>
      <c r="V108" s="23" t="n"/>
      <c r="W108" s="23" t="n"/>
      <c r="X108" s="23" t="n"/>
      <c r="Y108" s="23" t="n"/>
      <c r="Z108" s="23" t="n"/>
      <c r="AA108" s="23" t="n"/>
      <c r="AB108" s="30" t="n"/>
      <c r="AC108" s="1" t="n"/>
      <c r="AD108" s="1" t="str">
        <f>IF(G108="","",IFERROR(INDEX('Listas'!$N$6:$N$35,MATCH(G108,'Listas'!$M$6:$M$35,0)),""))</f>
        <v/>
      </c>
      <c r="AE108">
        <f>IF(G108="",1,IFERROR(INDEX('Listas'!$P$6:$P$35,MATCH(G108,'Listas'!$M$6:$M$35,0)),1))</f>
        <v>1</v>
      </c>
      <c r="AF108">
        <f>IF(H108="Compra",1,IF(H108="Venta",-1,0))</f>
        <v>0</v>
      </c>
      <c r="AG108">
        <f>IF(AND(D108&lt;&gt;"",ISNUMBER(R108)),1,0)</f>
        <v>0</v>
      </c>
      <c r="AH108">
        <f>IF(AG108=0,0,IF(OR('Panel'!$D$5="Todas las cuentas",'Panel'!$D$5="",F108='Panel'!$D$5),1,0))</f>
        <v>0</v>
      </c>
      <c r="AI108">
        <f>IF(AH108=0,0,IF(AND(OR('Panel'!$G$5="",D108&gt;='Panel'!$G$5),OR('Panel'!$J$5="",D108&lt;='Panel'!$J$5)),1,0))</f>
        <v>0</v>
      </c>
      <c r="AJ108">
        <f>IF(AI108=1,R108,0)</f>
        <v>0</v>
      </c>
      <c r="AK108" t="str">
        <f>IF(AI108=1,'Panel'!$AB$4+SUM($AJ$5:AJ108),"")</f>
        <v/>
      </c>
      <c r="AL108">
        <f>IF(AI108=0,N(AL107),IF(R108&lt;0,N(AL107)+1,0))</f>
        <v>1</v>
      </c>
      <c r="AM108">
        <f>IF(AI108=0,N(AM107),IF(R108&gt;0,N(AM107)+1,0))</f>
        <v>0</v>
      </c>
      <c r="AN108">
        <f>IF(AI108=1,MAX('Panel'!$AB$4,N(AN107),AK108),N(AN107))</f>
        <v>21371.061500000033</v>
      </c>
      <c r="AO108">
        <f>IF(AI108=1,AN108-AK108,0)</f>
        <v>0</v>
      </c>
      <c r="AP108">
        <f>IF(AND(AI108=1,AN108&gt;0),AO108/AN108,0)</f>
        <v>0</v>
      </c>
      <c r="AQ108" t="str">
        <f>IF(AI108=1,SUM($AI$5:AI108),"")</f>
        <v/>
      </c>
      <c r="AR108" t="str">
        <f>IF(AI108=1,IF(COUNTIFS($D$5:D108,D108,$AI$5:AI108,1)=1,SUMIFS($AJ$5:$AJ$504,$D$5:$D$504,D108),""),"")</f>
        <v/>
      </c>
      <c r="AS108" t="str">
        <f>IF(AG108=1,WEEKDAY(D108,2),"")</f>
        <v/>
      </c>
      <c r="AT108" s="31" t="str">
        <f>IF(AG108=1,DATE(YEAR(D108),MONTH(D108),1),"")</f>
        <v/>
      </c>
      <c r="AU108">
        <f>IF(AG108=0,0,IF(AND(OR('Prop challenge'!$D$7="",F108='Prop challenge'!$D$7),OR('Prop challenge'!$D$9="",D108&gt;='Prop challenge'!$D$9)),1,0))</f>
        <v>0</v>
      </c>
      <c r="AV108">
        <f>IF(AU108=1,IF(COUNTIFS($D$5:D108,D108,$AU$5:AU108,1)=1,1,0),0)</f>
        <v>0</v>
      </c>
      <c r="AW108" t="str">
        <f>IF(AV108=1,SUM($AV$5:AV108),"")</f>
        <v/>
      </c>
      <c r="AX108" t="str">
        <f>IF(AV108=1,SUMIFS($R$5:$R$504,$D$5:$D$504,D108,$AU$5:$AU$504,1),"")</f>
        <v/>
      </c>
    </row>
    <row r="109">
      <c r="A109" s="20" t="str">
        <f>IF(AG109=1,ROW()-4,"")</f>
        <v/>
      </c>
      <c r="B109" s="21" t="n"/>
      <c r="C109" s="22" t="n"/>
      <c r="D109" s="21" t="n"/>
      <c r="E109" s="22" t="n"/>
      <c r="F109" s="23" t="n"/>
      <c r="G109" s="23" t="n"/>
      <c r="H109" s="23" t="n"/>
      <c r="I109" s="24" t="n"/>
      <c r="J109" s="25" t="n"/>
      <c r="K109" s="25" t="n"/>
      <c r="L109" s="25" t="n"/>
      <c r="M109" s="25" t="n"/>
      <c r="N109" s="26" t="n"/>
      <c r="O109" s="26" t="n"/>
      <c r="P109" s="27" t="str">
        <f>IF(OR(J109="",K109="",I109="",AF109=0,AD109=""),"",(K109-J109)*AF109*I109*AD109*AE109)</f>
        <v/>
      </c>
      <c r="Q109" s="26" t="n"/>
      <c r="R109" s="28" t="str">
        <f>IF(Q109&lt;&gt;"",Q109,IF(P109="","",P109-N(N109)+N(O109)))</f>
        <v/>
      </c>
      <c r="S109" s="27" t="str">
        <f>IF(OR(L109="",J109="",I109="",AD109=""),"",ABS(J109-L109)*I109*AD109*AE109)</f>
        <v/>
      </c>
      <c r="T109" s="29" t="str">
        <f>IF(OR(R109="",S109="",S109=0),"",R109/S109)</f>
        <v/>
      </c>
      <c r="U109" s="20" t="str">
        <f>IF(R109="","",IF(R109&gt;0,"Ganadora",IF(R109&lt;0,"Perdedora","BE")))</f>
        <v/>
      </c>
      <c r="V109" s="23" t="n"/>
      <c r="W109" s="23" t="n"/>
      <c r="X109" s="23" t="n"/>
      <c r="Y109" s="23" t="n"/>
      <c r="Z109" s="23" t="n"/>
      <c r="AA109" s="23" t="n"/>
      <c r="AB109" s="30" t="n"/>
      <c r="AC109" s="1" t="n"/>
      <c r="AD109" s="1" t="str">
        <f>IF(G109="","",IFERROR(INDEX('Listas'!$N$6:$N$35,MATCH(G109,'Listas'!$M$6:$M$35,0)),""))</f>
        <v/>
      </c>
      <c r="AE109">
        <f>IF(G109="",1,IFERROR(INDEX('Listas'!$P$6:$P$35,MATCH(G109,'Listas'!$M$6:$M$35,0)),1))</f>
        <v>1</v>
      </c>
      <c r="AF109">
        <f>IF(H109="Compra",1,IF(H109="Venta",-1,0))</f>
        <v>0</v>
      </c>
      <c r="AG109">
        <f>IF(AND(D109&lt;&gt;"",ISNUMBER(R109)),1,0)</f>
        <v>0</v>
      </c>
      <c r="AH109">
        <f>IF(AG109=0,0,IF(OR('Panel'!$D$5="Todas las cuentas",'Panel'!$D$5="",F109='Panel'!$D$5),1,0))</f>
        <v>0</v>
      </c>
      <c r="AI109">
        <f>IF(AH109=0,0,IF(AND(OR('Panel'!$G$5="",D109&gt;='Panel'!$G$5),OR('Panel'!$J$5="",D109&lt;='Panel'!$J$5)),1,0))</f>
        <v>0</v>
      </c>
      <c r="AJ109">
        <f>IF(AI109=1,R109,0)</f>
        <v>0</v>
      </c>
      <c r="AK109" t="str">
        <f>IF(AI109=1,'Panel'!$AB$4+SUM($AJ$5:AJ109),"")</f>
        <v/>
      </c>
      <c r="AL109">
        <f>IF(AI109=0,N(AL108),IF(R109&lt;0,N(AL108)+1,0))</f>
        <v>1</v>
      </c>
      <c r="AM109">
        <f>IF(AI109=0,N(AM108),IF(R109&gt;0,N(AM108)+1,0))</f>
        <v>0</v>
      </c>
      <c r="AN109">
        <f>IF(AI109=1,MAX('Panel'!$AB$4,N(AN108),AK109),N(AN108))</f>
        <v>21371.061500000033</v>
      </c>
      <c r="AO109">
        <f>IF(AI109=1,AN109-AK109,0)</f>
        <v>0</v>
      </c>
      <c r="AP109">
        <f>IF(AND(AI109=1,AN109&gt;0),AO109/AN109,0)</f>
        <v>0</v>
      </c>
      <c r="AQ109" t="str">
        <f>IF(AI109=1,SUM($AI$5:AI109),"")</f>
        <v/>
      </c>
      <c r="AR109" t="str">
        <f>IF(AI109=1,IF(COUNTIFS($D$5:D109,D109,$AI$5:AI109,1)=1,SUMIFS($AJ$5:$AJ$504,$D$5:$D$504,D109),""),"")</f>
        <v/>
      </c>
      <c r="AS109" t="str">
        <f>IF(AG109=1,WEEKDAY(D109,2),"")</f>
        <v/>
      </c>
      <c r="AT109" s="31" t="str">
        <f>IF(AG109=1,DATE(YEAR(D109),MONTH(D109),1),"")</f>
        <v/>
      </c>
      <c r="AU109">
        <f>IF(AG109=0,0,IF(AND(OR('Prop challenge'!$D$7="",F109='Prop challenge'!$D$7),OR('Prop challenge'!$D$9="",D109&gt;='Prop challenge'!$D$9)),1,0))</f>
        <v>0</v>
      </c>
      <c r="AV109">
        <f>IF(AU109=1,IF(COUNTIFS($D$5:D109,D109,$AU$5:AU109,1)=1,1,0),0)</f>
        <v>0</v>
      </c>
      <c r="AW109" t="str">
        <f>IF(AV109=1,SUM($AV$5:AV109),"")</f>
        <v/>
      </c>
      <c r="AX109" t="str">
        <f>IF(AV109=1,SUMIFS($R$5:$R$504,$D$5:$D$504,D109,$AU$5:$AU$504,1),"")</f>
        <v/>
      </c>
    </row>
    <row r="110">
      <c r="A110" s="20" t="str">
        <f>IF(AG110=1,ROW()-4,"")</f>
        <v/>
      </c>
      <c r="B110" s="21" t="n"/>
      <c r="C110" s="22" t="n"/>
      <c r="D110" s="21" t="n"/>
      <c r="E110" s="22" t="n"/>
      <c r="F110" s="23" t="n"/>
      <c r="G110" s="23" t="n"/>
      <c r="H110" s="23" t="n"/>
      <c r="I110" s="24" t="n"/>
      <c r="J110" s="25" t="n"/>
      <c r="K110" s="25" t="n"/>
      <c r="L110" s="25" t="n"/>
      <c r="M110" s="25" t="n"/>
      <c r="N110" s="26" t="n"/>
      <c r="O110" s="26" t="n"/>
      <c r="P110" s="27" t="str">
        <f>IF(OR(J110="",K110="",I110="",AF110=0,AD110=""),"",(K110-J110)*AF110*I110*AD110*AE110)</f>
        <v/>
      </c>
      <c r="Q110" s="26" t="n"/>
      <c r="R110" s="28" t="str">
        <f>IF(Q110&lt;&gt;"",Q110,IF(P110="","",P110-N(N110)+N(O110)))</f>
        <v/>
      </c>
      <c r="S110" s="27" t="str">
        <f>IF(OR(L110="",J110="",I110="",AD110=""),"",ABS(J110-L110)*I110*AD110*AE110)</f>
        <v/>
      </c>
      <c r="T110" s="29" t="str">
        <f>IF(OR(R110="",S110="",S110=0),"",R110/S110)</f>
        <v/>
      </c>
      <c r="U110" s="20" t="str">
        <f>IF(R110="","",IF(R110&gt;0,"Ganadora",IF(R110&lt;0,"Perdedora","BE")))</f>
        <v/>
      </c>
      <c r="V110" s="23" t="n"/>
      <c r="W110" s="23" t="n"/>
      <c r="X110" s="23" t="n"/>
      <c r="Y110" s="23" t="n"/>
      <c r="Z110" s="23" t="n"/>
      <c r="AA110" s="23" t="n"/>
      <c r="AB110" s="30" t="n"/>
      <c r="AC110" s="1" t="n"/>
      <c r="AD110" s="1" t="str">
        <f>IF(G110="","",IFERROR(INDEX('Listas'!$N$6:$N$35,MATCH(G110,'Listas'!$M$6:$M$35,0)),""))</f>
        <v/>
      </c>
      <c r="AE110">
        <f>IF(G110="",1,IFERROR(INDEX('Listas'!$P$6:$P$35,MATCH(G110,'Listas'!$M$6:$M$35,0)),1))</f>
        <v>1</v>
      </c>
      <c r="AF110">
        <f>IF(H110="Compra",1,IF(H110="Venta",-1,0))</f>
        <v>0</v>
      </c>
      <c r="AG110">
        <f>IF(AND(D110&lt;&gt;"",ISNUMBER(R110)),1,0)</f>
        <v>0</v>
      </c>
      <c r="AH110">
        <f>IF(AG110=0,0,IF(OR('Panel'!$D$5="Todas las cuentas",'Panel'!$D$5="",F110='Panel'!$D$5),1,0))</f>
        <v>0</v>
      </c>
      <c r="AI110">
        <f>IF(AH110=0,0,IF(AND(OR('Panel'!$G$5="",D110&gt;='Panel'!$G$5),OR('Panel'!$J$5="",D110&lt;='Panel'!$J$5)),1,0))</f>
        <v>0</v>
      </c>
      <c r="AJ110">
        <f>IF(AI110=1,R110,0)</f>
        <v>0</v>
      </c>
      <c r="AK110" t="str">
        <f>IF(AI110=1,'Panel'!$AB$4+SUM($AJ$5:AJ110),"")</f>
        <v/>
      </c>
      <c r="AL110">
        <f>IF(AI110=0,N(AL109),IF(R110&lt;0,N(AL109)+1,0))</f>
        <v>1</v>
      </c>
      <c r="AM110">
        <f>IF(AI110=0,N(AM109),IF(R110&gt;0,N(AM109)+1,0))</f>
        <v>0</v>
      </c>
      <c r="AN110">
        <f>IF(AI110=1,MAX('Panel'!$AB$4,N(AN109),AK110),N(AN109))</f>
        <v>21371.061500000033</v>
      </c>
      <c r="AO110">
        <f>IF(AI110=1,AN110-AK110,0)</f>
        <v>0</v>
      </c>
      <c r="AP110">
        <f>IF(AND(AI110=1,AN110&gt;0),AO110/AN110,0)</f>
        <v>0</v>
      </c>
      <c r="AQ110" t="str">
        <f>IF(AI110=1,SUM($AI$5:AI110),"")</f>
        <v/>
      </c>
      <c r="AR110" t="str">
        <f>IF(AI110=1,IF(COUNTIFS($D$5:D110,D110,$AI$5:AI110,1)=1,SUMIFS($AJ$5:$AJ$504,$D$5:$D$504,D110),""),"")</f>
        <v/>
      </c>
      <c r="AS110" t="str">
        <f>IF(AG110=1,WEEKDAY(D110,2),"")</f>
        <v/>
      </c>
      <c r="AT110" s="31" t="str">
        <f>IF(AG110=1,DATE(YEAR(D110),MONTH(D110),1),"")</f>
        <v/>
      </c>
      <c r="AU110">
        <f>IF(AG110=0,0,IF(AND(OR('Prop challenge'!$D$7="",F110='Prop challenge'!$D$7),OR('Prop challenge'!$D$9="",D110&gt;='Prop challenge'!$D$9)),1,0))</f>
        <v>0</v>
      </c>
      <c r="AV110">
        <f>IF(AU110=1,IF(COUNTIFS($D$5:D110,D110,$AU$5:AU110,1)=1,1,0),0)</f>
        <v>0</v>
      </c>
      <c r="AW110" t="str">
        <f>IF(AV110=1,SUM($AV$5:AV110),"")</f>
        <v/>
      </c>
      <c r="AX110" t="str">
        <f>IF(AV110=1,SUMIFS($R$5:$R$504,$D$5:$D$504,D110,$AU$5:$AU$504,1),"")</f>
        <v/>
      </c>
    </row>
    <row r="111">
      <c r="A111" s="20" t="str">
        <f>IF(AG111=1,ROW()-4,"")</f>
        <v/>
      </c>
      <c r="B111" s="21" t="n"/>
      <c r="C111" s="22" t="n"/>
      <c r="D111" s="21" t="n"/>
      <c r="E111" s="22" t="n"/>
      <c r="F111" s="23" t="n"/>
      <c r="G111" s="23" t="n"/>
      <c r="H111" s="23" t="n"/>
      <c r="I111" s="24" t="n"/>
      <c r="J111" s="25" t="n"/>
      <c r="K111" s="25" t="n"/>
      <c r="L111" s="25" t="n"/>
      <c r="M111" s="25" t="n"/>
      <c r="N111" s="26" t="n"/>
      <c r="O111" s="26" t="n"/>
      <c r="P111" s="27" t="str">
        <f>IF(OR(J111="",K111="",I111="",AF111=0,AD111=""),"",(K111-J111)*AF111*I111*AD111*AE111)</f>
        <v/>
      </c>
      <c r="Q111" s="26" t="n"/>
      <c r="R111" s="28" t="str">
        <f>IF(Q111&lt;&gt;"",Q111,IF(P111="","",P111-N(N111)+N(O111)))</f>
        <v/>
      </c>
      <c r="S111" s="27" t="str">
        <f>IF(OR(L111="",J111="",I111="",AD111=""),"",ABS(J111-L111)*I111*AD111*AE111)</f>
        <v/>
      </c>
      <c r="T111" s="29" t="str">
        <f>IF(OR(R111="",S111="",S111=0),"",R111/S111)</f>
        <v/>
      </c>
      <c r="U111" s="20" t="str">
        <f>IF(R111="","",IF(R111&gt;0,"Ganadora",IF(R111&lt;0,"Perdedora","BE")))</f>
        <v/>
      </c>
      <c r="V111" s="23" t="n"/>
      <c r="W111" s="23" t="n"/>
      <c r="X111" s="23" t="n"/>
      <c r="Y111" s="23" t="n"/>
      <c r="Z111" s="23" t="n"/>
      <c r="AA111" s="23" t="n"/>
      <c r="AB111" s="30" t="n"/>
      <c r="AC111" s="1" t="n"/>
      <c r="AD111" s="1" t="str">
        <f>IF(G111="","",IFERROR(INDEX('Listas'!$N$6:$N$35,MATCH(G111,'Listas'!$M$6:$M$35,0)),""))</f>
        <v/>
      </c>
      <c r="AE111">
        <f>IF(G111="",1,IFERROR(INDEX('Listas'!$P$6:$P$35,MATCH(G111,'Listas'!$M$6:$M$35,0)),1))</f>
        <v>1</v>
      </c>
      <c r="AF111">
        <f>IF(H111="Compra",1,IF(H111="Venta",-1,0))</f>
        <v>0</v>
      </c>
      <c r="AG111">
        <f>IF(AND(D111&lt;&gt;"",ISNUMBER(R111)),1,0)</f>
        <v>0</v>
      </c>
      <c r="AH111">
        <f>IF(AG111=0,0,IF(OR('Panel'!$D$5="Todas las cuentas",'Panel'!$D$5="",F111='Panel'!$D$5),1,0))</f>
        <v>0</v>
      </c>
      <c r="AI111">
        <f>IF(AH111=0,0,IF(AND(OR('Panel'!$G$5="",D111&gt;='Panel'!$G$5),OR('Panel'!$J$5="",D111&lt;='Panel'!$J$5)),1,0))</f>
        <v>0</v>
      </c>
      <c r="AJ111">
        <f>IF(AI111=1,R111,0)</f>
        <v>0</v>
      </c>
      <c r="AK111" t="str">
        <f>IF(AI111=1,'Panel'!$AB$4+SUM($AJ$5:AJ111),"")</f>
        <v/>
      </c>
      <c r="AL111">
        <f>IF(AI111=0,N(AL110),IF(R111&lt;0,N(AL110)+1,0))</f>
        <v>1</v>
      </c>
      <c r="AM111">
        <f>IF(AI111=0,N(AM110),IF(R111&gt;0,N(AM110)+1,0))</f>
        <v>0</v>
      </c>
      <c r="AN111">
        <f>IF(AI111=1,MAX('Panel'!$AB$4,N(AN110),AK111),N(AN110))</f>
        <v>21371.061500000033</v>
      </c>
      <c r="AO111">
        <f>IF(AI111=1,AN111-AK111,0)</f>
        <v>0</v>
      </c>
      <c r="AP111">
        <f>IF(AND(AI111=1,AN111&gt;0),AO111/AN111,0)</f>
        <v>0</v>
      </c>
      <c r="AQ111" t="str">
        <f>IF(AI111=1,SUM($AI$5:AI111),"")</f>
        <v/>
      </c>
      <c r="AR111" t="str">
        <f>IF(AI111=1,IF(COUNTIFS($D$5:D111,D111,$AI$5:AI111,1)=1,SUMIFS($AJ$5:$AJ$504,$D$5:$D$504,D111),""),"")</f>
        <v/>
      </c>
      <c r="AS111" t="str">
        <f>IF(AG111=1,WEEKDAY(D111,2),"")</f>
        <v/>
      </c>
      <c r="AT111" s="31" t="str">
        <f>IF(AG111=1,DATE(YEAR(D111),MONTH(D111),1),"")</f>
        <v/>
      </c>
      <c r="AU111">
        <f>IF(AG111=0,0,IF(AND(OR('Prop challenge'!$D$7="",F111='Prop challenge'!$D$7),OR('Prop challenge'!$D$9="",D111&gt;='Prop challenge'!$D$9)),1,0))</f>
        <v>0</v>
      </c>
      <c r="AV111">
        <f>IF(AU111=1,IF(COUNTIFS($D$5:D111,D111,$AU$5:AU111,1)=1,1,0),0)</f>
        <v>0</v>
      </c>
      <c r="AW111" t="str">
        <f>IF(AV111=1,SUM($AV$5:AV111),"")</f>
        <v/>
      </c>
      <c r="AX111" t="str">
        <f>IF(AV111=1,SUMIFS($R$5:$R$504,$D$5:$D$504,D111,$AU$5:$AU$504,1),"")</f>
        <v/>
      </c>
    </row>
    <row r="112">
      <c r="A112" s="20" t="str">
        <f>IF(AG112=1,ROW()-4,"")</f>
        <v/>
      </c>
      <c r="B112" s="21" t="n"/>
      <c r="C112" s="22" t="n"/>
      <c r="D112" s="21" t="n"/>
      <c r="E112" s="22" t="n"/>
      <c r="F112" s="23" t="n"/>
      <c r="G112" s="23" t="n"/>
      <c r="H112" s="23" t="n"/>
      <c r="I112" s="24" t="n"/>
      <c r="J112" s="25" t="n"/>
      <c r="K112" s="25" t="n"/>
      <c r="L112" s="25" t="n"/>
      <c r="M112" s="25" t="n"/>
      <c r="N112" s="26" t="n"/>
      <c r="O112" s="26" t="n"/>
      <c r="P112" s="27" t="str">
        <f>IF(OR(J112="",K112="",I112="",AF112=0,AD112=""),"",(K112-J112)*AF112*I112*AD112*AE112)</f>
        <v/>
      </c>
      <c r="Q112" s="26" t="n"/>
      <c r="R112" s="28" t="str">
        <f>IF(Q112&lt;&gt;"",Q112,IF(P112="","",P112-N(N112)+N(O112)))</f>
        <v/>
      </c>
      <c r="S112" s="27" t="str">
        <f>IF(OR(L112="",J112="",I112="",AD112=""),"",ABS(J112-L112)*I112*AD112*AE112)</f>
        <v/>
      </c>
      <c r="T112" s="29" t="str">
        <f>IF(OR(R112="",S112="",S112=0),"",R112/S112)</f>
        <v/>
      </c>
      <c r="U112" s="20" t="str">
        <f>IF(R112="","",IF(R112&gt;0,"Ganadora",IF(R112&lt;0,"Perdedora","BE")))</f>
        <v/>
      </c>
      <c r="V112" s="23" t="n"/>
      <c r="W112" s="23" t="n"/>
      <c r="X112" s="23" t="n"/>
      <c r="Y112" s="23" t="n"/>
      <c r="Z112" s="23" t="n"/>
      <c r="AA112" s="23" t="n"/>
      <c r="AB112" s="30" t="n"/>
      <c r="AC112" s="1" t="n"/>
      <c r="AD112" s="1" t="str">
        <f>IF(G112="","",IFERROR(INDEX('Listas'!$N$6:$N$35,MATCH(G112,'Listas'!$M$6:$M$35,0)),""))</f>
        <v/>
      </c>
      <c r="AE112">
        <f>IF(G112="",1,IFERROR(INDEX('Listas'!$P$6:$P$35,MATCH(G112,'Listas'!$M$6:$M$35,0)),1))</f>
        <v>1</v>
      </c>
      <c r="AF112">
        <f>IF(H112="Compra",1,IF(H112="Venta",-1,0))</f>
        <v>0</v>
      </c>
      <c r="AG112">
        <f>IF(AND(D112&lt;&gt;"",ISNUMBER(R112)),1,0)</f>
        <v>0</v>
      </c>
      <c r="AH112">
        <f>IF(AG112=0,0,IF(OR('Panel'!$D$5="Todas las cuentas",'Panel'!$D$5="",F112='Panel'!$D$5),1,0))</f>
        <v>0</v>
      </c>
      <c r="AI112">
        <f>IF(AH112=0,0,IF(AND(OR('Panel'!$G$5="",D112&gt;='Panel'!$G$5),OR('Panel'!$J$5="",D112&lt;='Panel'!$J$5)),1,0))</f>
        <v>0</v>
      </c>
      <c r="AJ112">
        <f>IF(AI112=1,R112,0)</f>
        <v>0</v>
      </c>
      <c r="AK112" t="str">
        <f>IF(AI112=1,'Panel'!$AB$4+SUM($AJ$5:AJ112),"")</f>
        <v/>
      </c>
      <c r="AL112">
        <f>IF(AI112=0,N(AL111),IF(R112&lt;0,N(AL111)+1,0))</f>
        <v>1</v>
      </c>
      <c r="AM112">
        <f>IF(AI112=0,N(AM111),IF(R112&gt;0,N(AM111)+1,0))</f>
        <v>0</v>
      </c>
      <c r="AN112">
        <f>IF(AI112=1,MAX('Panel'!$AB$4,N(AN111),AK112),N(AN111))</f>
        <v>21371.061500000033</v>
      </c>
      <c r="AO112">
        <f>IF(AI112=1,AN112-AK112,0)</f>
        <v>0</v>
      </c>
      <c r="AP112">
        <f>IF(AND(AI112=1,AN112&gt;0),AO112/AN112,0)</f>
        <v>0</v>
      </c>
      <c r="AQ112" t="str">
        <f>IF(AI112=1,SUM($AI$5:AI112),"")</f>
        <v/>
      </c>
      <c r="AR112" t="str">
        <f>IF(AI112=1,IF(COUNTIFS($D$5:D112,D112,$AI$5:AI112,1)=1,SUMIFS($AJ$5:$AJ$504,$D$5:$D$504,D112),""),"")</f>
        <v/>
      </c>
      <c r="AS112" t="str">
        <f>IF(AG112=1,WEEKDAY(D112,2),"")</f>
        <v/>
      </c>
      <c r="AT112" s="31" t="str">
        <f>IF(AG112=1,DATE(YEAR(D112),MONTH(D112),1),"")</f>
        <v/>
      </c>
      <c r="AU112">
        <f>IF(AG112=0,0,IF(AND(OR('Prop challenge'!$D$7="",F112='Prop challenge'!$D$7),OR('Prop challenge'!$D$9="",D112&gt;='Prop challenge'!$D$9)),1,0))</f>
        <v>0</v>
      </c>
      <c r="AV112">
        <f>IF(AU112=1,IF(COUNTIFS($D$5:D112,D112,$AU$5:AU112,1)=1,1,0),0)</f>
        <v>0</v>
      </c>
      <c r="AW112" t="str">
        <f>IF(AV112=1,SUM($AV$5:AV112),"")</f>
        <v/>
      </c>
      <c r="AX112" t="str">
        <f>IF(AV112=1,SUMIFS($R$5:$R$504,$D$5:$D$504,D112,$AU$5:$AU$504,1),"")</f>
        <v/>
      </c>
    </row>
    <row r="113">
      <c r="A113" s="20" t="str">
        <f>IF(AG113=1,ROW()-4,"")</f>
        <v/>
      </c>
      <c r="B113" s="21" t="n"/>
      <c r="C113" s="22" t="n"/>
      <c r="D113" s="21" t="n"/>
      <c r="E113" s="22" t="n"/>
      <c r="F113" s="23" t="n"/>
      <c r="G113" s="23" t="n"/>
      <c r="H113" s="23" t="n"/>
      <c r="I113" s="24" t="n"/>
      <c r="J113" s="25" t="n"/>
      <c r="K113" s="25" t="n"/>
      <c r="L113" s="25" t="n"/>
      <c r="M113" s="25" t="n"/>
      <c r="N113" s="26" t="n"/>
      <c r="O113" s="26" t="n"/>
      <c r="P113" s="27" t="str">
        <f>IF(OR(J113="",K113="",I113="",AF113=0,AD113=""),"",(K113-J113)*AF113*I113*AD113*AE113)</f>
        <v/>
      </c>
      <c r="Q113" s="26" t="n"/>
      <c r="R113" s="28" t="str">
        <f>IF(Q113&lt;&gt;"",Q113,IF(P113="","",P113-N(N113)+N(O113)))</f>
        <v/>
      </c>
      <c r="S113" s="27" t="str">
        <f>IF(OR(L113="",J113="",I113="",AD113=""),"",ABS(J113-L113)*I113*AD113*AE113)</f>
        <v/>
      </c>
      <c r="T113" s="29" t="str">
        <f>IF(OR(R113="",S113="",S113=0),"",R113/S113)</f>
        <v/>
      </c>
      <c r="U113" s="20" t="str">
        <f>IF(R113="","",IF(R113&gt;0,"Ganadora",IF(R113&lt;0,"Perdedora","BE")))</f>
        <v/>
      </c>
      <c r="V113" s="23" t="n"/>
      <c r="W113" s="23" t="n"/>
      <c r="X113" s="23" t="n"/>
      <c r="Y113" s="23" t="n"/>
      <c r="Z113" s="23" t="n"/>
      <c r="AA113" s="23" t="n"/>
      <c r="AB113" s="30" t="n"/>
      <c r="AC113" s="1" t="n"/>
      <c r="AD113" s="1" t="str">
        <f>IF(G113="","",IFERROR(INDEX('Listas'!$N$6:$N$35,MATCH(G113,'Listas'!$M$6:$M$35,0)),""))</f>
        <v/>
      </c>
      <c r="AE113">
        <f>IF(G113="",1,IFERROR(INDEX('Listas'!$P$6:$P$35,MATCH(G113,'Listas'!$M$6:$M$35,0)),1))</f>
        <v>1</v>
      </c>
      <c r="AF113">
        <f>IF(H113="Compra",1,IF(H113="Venta",-1,0))</f>
        <v>0</v>
      </c>
      <c r="AG113">
        <f>IF(AND(D113&lt;&gt;"",ISNUMBER(R113)),1,0)</f>
        <v>0</v>
      </c>
      <c r="AH113">
        <f>IF(AG113=0,0,IF(OR('Panel'!$D$5="Todas las cuentas",'Panel'!$D$5="",F113='Panel'!$D$5),1,0))</f>
        <v>0</v>
      </c>
      <c r="AI113">
        <f>IF(AH113=0,0,IF(AND(OR('Panel'!$G$5="",D113&gt;='Panel'!$G$5),OR('Panel'!$J$5="",D113&lt;='Panel'!$J$5)),1,0))</f>
        <v>0</v>
      </c>
      <c r="AJ113">
        <f>IF(AI113=1,R113,0)</f>
        <v>0</v>
      </c>
      <c r="AK113" t="str">
        <f>IF(AI113=1,'Panel'!$AB$4+SUM($AJ$5:AJ113),"")</f>
        <v/>
      </c>
      <c r="AL113">
        <f>IF(AI113=0,N(AL112),IF(R113&lt;0,N(AL112)+1,0))</f>
        <v>1</v>
      </c>
      <c r="AM113">
        <f>IF(AI113=0,N(AM112),IF(R113&gt;0,N(AM112)+1,0))</f>
        <v>0</v>
      </c>
      <c r="AN113">
        <f>IF(AI113=1,MAX('Panel'!$AB$4,N(AN112),AK113),N(AN112))</f>
        <v>21371.061500000033</v>
      </c>
      <c r="AO113">
        <f>IF(AI113=1,AN113-AK113,0)</f>
        <v>0</v>
      </c>
      <c r="AP113">
        <f>IF(AND(AI113=1,AN113&gt;0),AO113/AN113,0)</f>
        <v>0</v>
      </c>
      <c r="AQ113" t="str">
        <f>IF(AI113=1,SUM($AI$5:AI113),"")</f>
        <v/>
      </c>
      <c r="AR113" t="str">
        <f>IF(AI113=1,IF(COUNTIFS($D$5:D113,D113,$AI$5:AI113,1)=1,SUMIFS($AJ$5:$AJ$504,$D$5:$D$504,D113),""),"")</f>
        <v/>
      </c>
      <c r="AS113" t="str">
        <f>IF(AG113=1,WEEKDAY(D113,2),"")</f>
        <v/>
      </c>
      <c r="AT113" s="31" t="str">
        <f>IF(AG113=1,DATE(YEAR(D113),MONTH(D113),1),"")</f>
        <v/>
      </c>
      <c r="AU113">
        <f>IF(AG113=0,0,IF(AND(OR('Prop challenge'!$D$7="",F113='Prop challenge'!$D$7),OR('Prop challenge'!$D$9="",D113&gt;='Prop challenge'!$D$9)),1,0))</f>
        <v>0</v>
      </c>
      <c r="AV113">
        <f>IF(AU113=1,IF(COUNTIFS($D$5:D113,D113,$AU$5:AU113,1)=1,1,0),0)</f>
        <v>0</v>
      </c>
      <c r="AW113" t="str">
        <f>IF(AV113=1,SUM($AV$5:AV113),"")</f>
        <v/>
      </c>
      <c r="AX113" t="str">
        <f>IF(AV113=1,SUMIFS($R$5:$R$504,$D$5:$D$504,D113,$AU$5:$AU$504,1),"")</f>
        <v/>
      </c>
    </row>
    <row r="114">
      <c r="A114" s="20" t="str">
        <f>IF(AG114=1,ROW()-4,"")</f>
        <v/>
      </c>
      <c r="B114" s="21" t="n"/>
      <c r="C114" s="22" t="n"/>
      <c r="D114" s="21" t="n"/>
      <c r="E114" s="22" t="n"/>
      <c r="F114" s="23" t="n"/>
      <c r="G114" s="23" t="n"/>
      <c r="H114" s="23" t="n"/>
      <c r="I114" s="24" t="n"/>
      <c r="J114" s="25" t="n"/>
      <c r="K114" s="25" t="n"/>
      <c r="L114" s="25" t="n"/>
      <c r="M114" s="25" t="n"/>
      <c r="N114" s="26" t="n"/>
      <c r="O114" s="26" t="n"/>
      <c r="P114" s="27" t="str">
        <f>IF(OR(J114="",K114="",I114="",AF114=0,AD114=""),"",(K114-J114)*AF114*I114*AD114*AE114)</f>
        <v/>
      </c>
      <c r="Q114" s="26" t="n"/>
      <c r="R114" s="28" t="str">
        <f>IF(Q114&lt;&gt;"",Q114,IF(P114="","",P114-N(N114)+N(O114)))</f>
        <v/>
      </c>
      <c r="S114" s="27" t="str">
        <f>IF(OR(L114="",J114="",I114="",AD114=""),"",ABS(J114-L114)*I114*AD114*AE114)</f>
        <v/>
      </c>
      <c r="T114" s="29" t="str">
        <f>IF(OR(R114="",S114="",S114=0),"",R114/S114)</f>
        <v/>
      </c>
      <c r="U114" s="20" t="str">
        <f>IF(R114="","",IF(R114&gt;0,"Ganadora",IF(R114&lt;0,"Perdedora","BE")))</f>
        <v/>
      </c>
      <c r="V114" s="23" t="n"/>
      <c r="W114" s="23" t="n"/>
      <c r="X114" s="23" t="n"/>
      <c r="Y114" s="23" t="n"/>
      <c r="Z114" s="23" t="n"/>
      <c r="AA114" s="23" t="n"/>
      <c r="AB114" s="30" t="n"/>
      <c r="AC114" s="1" t="n"/>
      <c r="AD114" s="1" t="str">
        <f>IF(G114="","",IFERROR(INDEX('Listas'!$N$6:$N$35,MATCH(G114,'Listas'!$M$6:$M$35,0)),""))</f>
        <v/>
      </c>
      <c r="AE114">
        <f>IF(G114="",1,IFERROR(INDEX('Listas'!$P$6:$P$35,MATCH(G114,'Listas'!$M$6:$M$35,0)),1))</f>
        <v>1</v>
      </c>
      <c r="AF114">
        <f>IF(H114="Compra",1,IF(H114="Venta",-1,0))</f>
        <v>0</v>
      </c>
      <c r="AG114">
        <f>IF(AND(D114&lt;&gt;"",ISNUMBER(R114)),1,0)</f>
        <v>0</v>
      </c>
      <c r="AH114">
        <f>IF(AG114=0,0,IF(OR('Panel'!$D$5="Todas las cuentas",'Panel'!$D$5="",F114='Panel'!$D$5),1,0))</f>
        <v>0</v>
      </c>
      <c r="AI114">
        <f>IF(AH114=0,0,IF(AND(OR('Panel'!$G$5="",D114&gt;='Panel'!$G$5),OR('Panel'!$J$5="",D114&lt;='Panel'!$J$5)),1,0))</f>
        <v>0</v>
      </c>
      <c r="AJ114">
        <f>IF(AI114=1,R114,0)</f>
        <v>0</v>
      </c>
      <c r="AK114" t="str">
        <f>IF(AI114=1,'Panel'!$AB$4+SUM($AJ$5:AJ114),"")</f>
        <v/>
      </c>
      <c r="AL114">
        <f>IF(AI114=0,N(AL113),IF(R114&lt;0,N(AL113)+1,0))</f>
        <v>1</v>
      </c>
      <c r="AM114">
        <f>IF(AI114=0,N(AM113),IF(R114&gt;0,N(AM113)+1,0))</f>
        <v>0</v>
      </c>
      <c r="AN114">
        <f>IF(AI114=1,MAX('Panel'!$AB$4,N(AN113),AK114),N(AN113))</f>
        <v>21371.061500000033</v>
      </c>
      <c r="AO114">
        <f>IF(AI114=1,AN114-AK114,0)</f>
        <v>0</v>
      </c>
      <c r="AP114">
        <f>IF(AND(AI114=1,AN114&gt;0),AO114/AN114,0)</f>
        <v>0</v>
      </c>
      <c r="AQ114" t="str">
        <f>IF(AI114=1,SUM($AI$5:AI114),"")</f>
        <v/>
      </c>
      <c r="AR114" t="str">
        <f>IF(AI114=1,IF(COUNTIFS($D$5:D114,D114,$AI$5:AI114,1)=1,SUMIFS($AJ$5:$AJ$504,$D$5:$D$504,D114),""),"")</f>
        <v/>
      </c>
      <c r="AS114" t="str">
        <f>IF(AG114=1,WEEKDAY(D114,2),"")</f>
        <v/>
      </c>
      <c r="AT114" s="31" t="str">
        <f>IF(AG114=1,DATE(YEAR(D114),MONTH(D114),1),"")</f>
        <v/>
      </c>
      <c r="AU114">
        <f>IF(AG114=0,0,IF(AND(OR('Prop challenge'!$D$7="",F114='Prop challenge'!$D$7),OR('Prop challenge'!$D$9="",D114&gt;='Prop challenge'!$D$9)),1,0))</f>
        <v>0</v>
      </c>
      <c r="AV114">
        <f>IF(AU114=1,IF(COUNTIFS($D$5:D114,D114,$AU$5:AU114,1)=1,1,0),0)</f>
        <v>0</v>
      </c>
      <c r="AW114" t="str">
        <f>IF(AV114=1,SUM($AV$5:AV114),"")</f>
        <v/>
      </c>
      <c r="AX114" t="str">
        <f>IF(AV114=1,SUMIFS($R$5:$R$504,$D$5:$D$504,D114,$AU$5:$AU$504,1),"")</f>
        <v/>
      </c>
    </row>
    <row r="115">
      <c r="A115" s="20" t="str">
        <f>IF(AG115=1,ROW()-4,"")</f>
        <v/>
      </c>
      <c r="B115" s="21" t="n"/>
      <c r="C115" s="22" t="n"/>
      <c r="D115" s="21" t="n"/>
      <c r="E115" s="22" t="n"/>
      <c r="F115" s="23" t="n"/>
      <c r="G115" s="23" t="n"/>
      <c r="H115" s="23" t="n"/>
      <c r="I115" s="24" t="n"/>
      <c r="J115" s="25" t="n"/>
      <c r="K115" s="25" t="n"/>
      <c r="L115" s="25" t="n"/>
      <c r="M115" s="25" t="n"/>
      <c r="N115" s="26" t="n"/>
      <c r="O115" s="26" t="n"/>
      <c r="P115" s="27" t="str">
        <f>IF(OR(J115="",K115="",I115="",AF115=0,AD115=""),"",(K115-J115)*AF115*I115*AD115*AE115)</f>
        <v/>
      </c>
      <c r="Q115" s="26" t="n"/>
      <c r="R115" s="28" t="str">
        <f>IF(Q115&lt;&gt;"",Q115,IF(P115="","",P115-N(N115)+N(O115)))</f>
        <v/>
      </c>
      <c r="S115" s="27" t="str">
        <f>IF(OR(L115="",J115="",I115="",AD115=""),"",ABS(J115-L115)*I115*AD115*AE115)</f>
        <v/>
      </c>
      <c r="T115" s="29" t="str">
        <f>IF(OR(R115="",S115="",S115=0),"",R115/S115)</f>
        <v/>
      </c>
      <c r="U115" s="20" t="str">
        <f>IF(R115="","",IF(R115&gt;0,"Ganadora",IF(R115&lt;0,"Perdedora","BE")))</f>
        <v/>
      </c>
      <c r="V115" s="23" t="n"/>
      <c r="W115" s="23" t="n"/>
      <c r="X115" s="23" t="n"/>
      <c r="Y115" s="23" t="n"/>
      <c r="Z115" s="23" t="n"/>
      <c r="AA115" s="23" t="n"/>
      <c r="AB115" s="30" t="n"/>
      <c r="AC115" s="1" t="n"/>
      <c r="AD115" s="1" t="str">
        <f>IF(G115="","",IFERROR(INDEX('Listas'!$N$6:$N$35,MATCH(G115,'Listas'!$M$6:$M$35,0)),""))</f>
        <v/>
      </c>
      <c r="AE115">
        <f>IF(G115="",1,IFERROR(INDEX('Listas'!$P$6:$P$35,MATCH(G115,'Listas'!$M$6:$M$35,0)),1))</f>
        <v>1</v>
      </c>
      <c r="AF115">
        <f>IF(H115="Compra",1,IF(H115="Venta",-1,0))</f>
        <v>0</v>
      </c>
      <c r="AG115">
        <f>IF(AND(D115&lt;&gt;"",ISNUMBER(R115)),1,0)</f>
        <v>0</v>
      </c>
      <c r="AH115">
        <f>IF(AG115=0,0,IF(OR('Panel'!$D$5="Todas las cuentas",'Panel'!$D$5="",F115='Panel'!$D$5),1,0))</f>
        <v>0</v>
      </c>
      <c r="AI115">
        <f>IF(AH115=0,0,IF(AND(OR('Panel'!$G$5="",D115&gt;='Panel'!$G$5),OR('Panel'!$J$5="",D115&lt;='Panel'!$J$5)),1,0))</f>
        <v>0</v>
      </c>
      <c r="AJ115">
        <f>IF(AI115=1,R115,0)</f>
        <v>0</v>
      </c>
      <c r="AK115" t="str">
        <f>IF(AI115=1,'Panel'!$AB$4+SUM($AJ$5:AJ115),"")</f>
        <v/>
      </c>
      <c r="AL115">
        <f>IF(AI115=0,N(AL114),IF(R115&lt;0,N(AL114)+1,0))</f>
        <v>1</v>
      </c>
      <c r="AM115">
        <f>IF(AI115=0,N(AM114),IF(R115&gt;0,N(AM114)+1,0))</f>
        <v>0</v>
      </c>
      <c r="AN115">
        <f>IF(AI115=1,MAX('Panel'!$AB$4,N(AN114),AK115),N(AN114))</f>
        <v>21371.061500000033</v>
      </c>
      <c r="AO115">
        <f>IF(AI115=1,AN115-AK115,0)</f>
        <v>0</v>
      </c>
      <c r="AP115">
        <f>IF(AND(AI115=1,AN115&gt;0),AO115/AN115,0)</f>
        <v>0</v>
      </c>
      <c r="AQ115" t="str">
        <f>IF(AI115=1,SUM($AI$5:AI115),"")</f>
        <v/>
      </c>
      <c r="AR115" t="str">
        <f>IF(AI115=1,IF(COUNTIFS($D$5:D115,D115,$AI$5:AI115,1)=1,SUMIFS($AJ$5:$AJ$504,$D$5:$D$504,D115),""),"")</f>
        <v/>
      </c>
      <c r="AS115" t="str">
        <f>IF(AG115=1,WEEKDAY(D115,2),"")</f>
        <v/>
      </c>
      <c r="AT115" s="31" t="str">
        <f>IF(AG115=1,DATE(YEAR(D115),MONTH(D115),1),"")</f>
        <v/>
      </c>
      <c r="AU115">
        <f>IF(AG115=0,0,IF(AND(OR('Prop challenge'!$D$7="",F115='Prop challenge'!$D$7),OR('Prop challenge'!$D$9="",D115&gt;='Prop challenge'!$D$9)),1,0))</f>
        <v>0</v>
      </c>
      <c r="AV115">
        <f>IF(AU115=1,IF(COUNTIFS($D$5:D115,D115,$AU$5:AU115,1)=1,1,0),0)</f>
        <v>0</v>
      </c>
      <c r="AW115" t="str">
        <f>IF(AV115=1,SUM($AV$5:AV115),"")</f>
        <v/>
      </c>
      <c r="AX115" t="str">
        <f>IF(AV115=1,SUMIFS($R$5:$R$504,$D$5:$D$504,D115,$AU$5:$AU$504,1),"")</f>
        <v/>
      </c>
    </row>
    <row r="116">
      <c r="A116" s="20" t="str">
        <f>IF(AG116=1,ROW()-4,"")</f>
        <v/>
      </c>
      <c r="B116" s="21" t="n"/>
      <c r="C116" s="22" t="n"/>
      <c r="D116" s="21" t="n"/>
      <c r="E116" s="22" t="n"/>
      <c r="F116" s="23" t="n"/>
      <c r="G116" s="23" t="n"/>
      <c r="H116" s="23" t="n"/>
      <c r="I116" s="24" t="n"/>
      <c r="J116" s="25" t="n"/>
      <c r="K116" s="25" t="n"/>
      <c r="L116" s="25" t="n"/>
      <c r="M116" s="25" t="n"/>
      <c r="N116" s="26" t="n"/>
      <c r="O116" s="26" t="n"/>
      <c r="P116" s="27" t="str">
        <f>IF(OR(J116="",K116="",I116="",AF116=0,AD116=""),"",(K116-J116)*AF116*I116*AD116*AE116)</f>
        <v/>
      </c>
      <c r="Q116" s="26" t="n"/>
      <c r="R116" s="28" t="str">
        <f>IF(Q116&lt;&gt;"",Q116,IF(P116="","",P116-N(N116)+N(O116)))</f>
        <v/>
      </c>
      <c r="S116" s="27" t="str">
        <f>IF(OR(L116="",J116="",I116="",AD116=""),"",ABS(J116-L116)*I116*AD116*AE116)</f>
        <v/>
      </c>
      <c r="T116" s="29" t="str">
        <f>IF(OR(R116="",S116="",S116=0),"",R116/S116)</f>
        <v/>
      </c>
      <c r="U116" s="20" t="str">
        <f>IF(R116="","",IF(R116&gt;0,"Ganadora",IF(R116&lt;0,"Perdedora","BE")))</f>
        <v/>
      </c>
      <c r="V116" s="23" t="n"/>
      <c r="W116" s="23" t="n"/>
      <c r="X116" s="23" t="n"/>
      <c r="Y116" s="23" t="n"/>
      <c r="Z116" s="23" t="n"/>
      <c r="AA116" s="23" t="n"/>
      <c r="AB116" s="30" t="n"/>
      <c r="AC116" s="1" t="n"/>
      <c r="AD116" s="1" t="str">
        <f>IF(G116="","",IFERROR(INDEX('Listas'!$N$6:$N$35,MATCH(G116,'Listas'!$M$6:$M$35,0)),""))</f>
        <v/>
      </c>
      <c r="AE116">
        <f>IF(G116="",1,IFERROR(INDEX('Listas'!$P$6:$P$35,MATCH(G116,'Listas'!$M$6:$M$35,0)),1))</f>
        <v>1</v>
      </c>
      <c r="AF116">
        <f>IF(H116="Compra",1,IF(H116="Venta",-1,0))</f>
        <v>0</v>
      </c>
      <c r="AG116">
        <f>IF(AND(D116&lt;&gt;"",ISNUMBER(R116)),1,0)</f>
        <v>0</v>
      </c>
      <c r="AH116">
        <f>IF(AG116=0,0,IF(OR('Panel'!$D$5="Todas las cuentas",'Panel'!$D$5="",F116='Panel'!$D$5),1,0))</f>
        <v>0</v>
      </c>
      <c r="AI116">
        <f>IF(AH116=0,0,IF(AND(OR('Panel'!$G$5="",D116&gt;='Panel'!$G$5),OR('Panel'!$J$5="",D116&lt;='Panel'!$J$5)),1,0))</f>
        <v>0</v>
      </c>
      <c r="AJ116">
        <f>IF(AI116=1,R116,0)</f>
        <v>0</v>
      </c>
      <c r="AK116" t="str">
        <f>IF(AI116=1,'Panel'!$AB$4+SUM($AJ$5:AJ116),"")</f>
        <v/>
      </c>
      <c r="AL116">
        <f>IF(AI116=0,N(AL115),IF(R116&lt;0,N(AL115)+1,0))</f>
        <v>1</v>
      </c>
      <c r="AM116">
        <f>IF(AI116=0,N(AM115),IF(R116&gt;0,N(AM115)+1,0))</f>
        <v>0</v>
      </c>
      <c r="AN116">
        <f>IF(AI116=1,MAX('Panel'!$AB$4,N(AN115),AK116),N(AN115))</f>
        <v>21371.061500000033</v>
      </c>
      <c r="AO116">
        <f>IF(AI116=1,AN116-AK116,0)</f>
        <v>0</v>
      </c>
      <c r="AP116">
        <f>IF(AND(AI116=1,AN116&gt;0),AO116/AN116,0)</f>
        <v>0</v>
      </c>
      <c r="AQ116" t="str">
        <f>IF(AI116=1,SUM($AI$5:AI116),"")</f>
        <v/>
      </c>
      <c r="AR116" t="str">
        <f>IF(AI116=1,IF(COUNTIFS($D$5:D116,D116,$AI$5:AI116,1)=1,SUMIFS($AJ$5:$AJ$504,$D$5:$D$504,D116),""),"")</f>
        <v/>
      </c>
      <c r="AS116" t="str">
        <f>IF(AG116=1,WEEKDAY(D116,2),"")</f>
        <v/>
      </c>
      <c r="AT116" s="31" t="str">
        <f>IF(AG116=1,DATE(YEAR(D116),MONTH(D116),1),"")</f>
        <v/>
      </c>
      <c r="AU116">
        <f>IF(AG116=0,0,IF(AND(OR('Prop challenge'!$D$7="",F116='Prop challenge'!$D$7),OR('Prop challenge'!$D$9="",D116&gt;='Prop challenge'!$D$9)),1,0))</f>
        <v>0</v>
      </c>
      <c r="AV116">
        <f>IF(AU116=1,IF(COUNTIFS($D$5:D116,D116,$AU$5:AU116,1)=1,1,0),0)</f>
        <v>0</v>
      </c>
      <c r="AW116" t="str">
        <f>IF(AV116=1,SUM($AV$5:AV116),"")</f>
        <v/>
      </c>
      <c r="AX116" t="str">
        <f>IF(AV116=1,SUMIFS($R$5:$R$504,$D$5:$D$504,D116,$AU$5:$AU$504,1),"")</f>
        <v/>
      </c>
    </row>
    <row r="117">
      <c r="A117" s="20" t="str">
        <f>IF(AG117=1,ROW()-4,"")</f>
        <v/>
      </c>
      <c r="B117" s="21" t="n"/>
      <c r="C117" s="22" t="n"/>
      <c r="D117" s="21" t="n"/>
      <c r="E117" s="22" t="n"/>
      <c r="F117" s="23" t="n"/>
      <c r="G117" s="23" t="n"/>
      <c r="H117" s="23" t="n"/>
      <c r="I117" s="24" t="n"/>
      <c r="J117" s="25" t="n"/>
      <c r="K117" s="25" t="n"/>
      <c r="L117" s="25" t="n"/>
      <c r="M117" s="25" t="n"/>
      <c r="N117" s="26" t="n"/>
      <c r="O117" s="26" t="n"/>
      <c r="P117" s="27" t="str">
        <f>IF(OR(J117="",K117="",I117="",AF117=0,AD117=""),"",(K117-J117)*AF117*I117*AD117*AE117)</f>
        <v/>
      </c>
      <c r="Q117" s="26" t="n"/>
      <c r="R117" s="28" t="str">
        <f>IF(Q117&lt;&gt;"",Q117,IF(P117="","",P117-N(N117)+N(O117)))</f>
        <v/>
      </c>
      <c r="S117" s="27" t="str">
        <f>IF(OR(L117="",J117="",I117="",AD117=""),"",ABS(J117-L117)*I117*AD117*AE117)</f>
        <v/>
      </c>
      <c r="T117" s="29" t="str">
        <f>IF(OR(R117="",S117="",S117=0),"",R117/S117)</f>
        <v/>
      </c>
      <c r="U117" s="20" t="str">
        <f>IF(R117="","",IF(R117&gt;0,"Ganadora",IF(R117&lt;0,"Perdedora","BE")))</f>
        <v/>
      </c>
      <c r="V117" s="23" t="n"/>
      <c r="W117" s="23" t="n"/>
      <c r="X117" s="23" t="n"/>
      <c r="Y117" s="23" t="n"/>
      <c r="Z117" s="23" t="n"/>
      <c r="AA117" s="23" t="n"/>
      <c r="AB117" s="30" t="n"/>
      <c r="AC117" s="1" t="n"/>
      <c r="AD117" s="1" t="str">
        <f>IF(G117="","",IFERROR(INDEX('Listas'!$N$6:$N$35,MATCH(G117,'Listas'!$M$6:$M$35,0)),""))</f>
        <v/>
      </c>
      <c r="AE117">
        <f>IF(G117="",1,IFERROR(INDEX('Listas'!$P$6:$P$35,MATCH(G117,'Listas'!$M$6:$M$35,0)),1))</f>
        <v>1</v>
      </c>
      <c r="AF117">
        <f>IF(H117="Compra",1,IF(H117="Venta",-1,0))</f>
        <v>0</v>
      </c>
      <c r="AG117">
        <f>IF(AND(D117&lt;&gt;"",ISNUMBER(R117)),1,0)</f>
        <v>0</v>
      </c>
      <c r="AH117">
        <f>IF(AG117=0,0,IF(OR('Panel'!$D$5="Todas las cuentas",'Panel'!$D$5="",F117='Panel'!$D$5),1,0))</f>
        <v>0</v>
      </c>
      <c r="AI117">
        <f>IF(AH117=0,0,IF(AND(OR('Panel'!$G$5="",D117&gt;='Panel'!$G$5),OR('Panel'!$J$5="",D117&lt;='Panel'!$J$5)),1,0))</f>
        <v>0</v>
      </c>
      <c r="AJ117">
        <f>IF(AI117=1,R117,0)</f>
        <v>0</v>
      </c>
      <c r="AK117" t="str">
        <f>IF(AI117=1,'Panel'!$AB$4+SUM($AJ$5:AJ117),"")</f>
        <v/>
      </c>
      <c r="AL117">
        <f>IF(AI117=0,N(AL116),IF(R117&lt;0,N(AL116)+1,0))</f>
        <v>1</v>
      </c>
      <c r="AM117">
        <f>IF(AI117=0,N(AM116),IF(R117&gt;0,N(AM116)+1,0))</f>
        <v>0</v>
      </c>
      <c r="AN117">
        <f>IF(AI117=1,MAX('Panel'!$AB$4,N(AN116),AK117),N(AN116))</f>
        <v>21371.061500000033</v>
      </c>
      <c r="AO117">
        <f>IF(AI117=1,AN117-AK117,0)</f>
        <v>0</v>
      </c>
      <c r="AP117">
        <f>IF(AND(AI117=1,AN117&gt;0),AO117/AN117,0)</f>
        <v>0</v>
      </c>
      <c r="AQ117" t="str">
        <f>IF(AI117=1,SUM($AI$5:AI117),"")</f>
        <v/>
      </c>
      <c r="AR117" t="str">
        <f>IF(AI117=1,IF(COUNTIFS($D$5:D117,D117,$AI$5:AI117,1)=1,SUMIFS($AJ$5:$AJ$504,$D$5:$D$504,D117),""),"")</f>
        <v/>
      </c>
      <c r="AS117" t="str">
        <f>IF(AG117=1,WEEKDAY(D117,2),"")</f>
        <v/>
      </c>
      <c r="AT117" s="31" t="str">
        <f>IF(AG117=1,DATE(YEAR(D117),MONTH(D117),1),"")</f>
        <v/>
      </c>
      <c r="AU117">
        <f>IF(AG117=0,0,IF(AND(OR('Prop challenge'!$D$7="",F117='Prop challenge'!$D$7),OR('Prop challenge'!$D$9="",D117&gt;='Prop challenge'!$D$9)),1,0))</f>
        <v>0</v>
      </c>
      <c r="AV117">
        <f>IF(AU117=1,IF(COUNTIFS($D$5:D117,D117,$AU$5:AU117,1)=1,1,0),0)</f>
        <v>0</v>
      </c>
      <c r="AW117" t="str">
        <f>IF(AV117=1,SUM($AV$5:AV117),"")</f>
        <v/>
      </c>
      <c r="AX117" t="str">
        <f>IF(AV117=1,SUMIFS($R$5:$R$504,$D$5:$D$504,D117,$AU$5:$AU$504,1),"")</f>
        <v/>
      </c>
    </row>
    <row r="118">
      <c r="A118" s="20" t="str">
        <f>IF(AG118=1,ROW()-4,"")</f>
        <v/>
      </c>
      <c r="B118" s="21" t="n"/>
      <c r="C118" s="22" t="n"/>
      <c r="D118" s="21" t="n"/>
      <c r="E118" s="22" t="n"/>
      <c r="F118" s="23" t="n"/>
      <c r="G118" s="23" t="n"/>
      <c r="H118" s="23" t="n"/>
      <c r="I118" s="24" t="n"/>
      <c r="J118" s="25" t="n"/>
      <c r="K118" s="25" t="n"/>
      <c r="L118" s="25" t="n"/>
      <c r="M118" s="25" t="n"/>
      <c r="N118" s="26" t="n"/>
      <c r="O118" s="26" t="n"/>
      <c r="P118" s="27" t="str">
        <f>IF(OR(J118="",K118="",I118="",AF118=0,AD118=""),"",(K118-J118)*AF118*I118*AD118*AE118)</f>
        <v/>
      </c>
      <c r="Q118" s="26" t="n"/>
      <c r="R118" s="28" t="str">
        <f>IF(Q118&lt;&gt;"",Q118,IF(P118="","",P118-N(N118)+N(O118)))</f>
        <v/>
      </c>
      <c r="S118" s="27" t="str">
        <f>IF(OR(L118="",J118="",I118="",AD118=""),"",ABS(J118-L118)*I118*AD118*AE118)</f>
        <v/>
      </c>
      <c r="T118" s="29" t="str">
        <f>IF(OR(R118="",S118="",S118=0),"",R118/S118)</f>
        <v/>
      </c>
      <c r="U118" s="20" t="str">
        <f>IF(R118="","",IF(R118&gt;0,"Ganadora",IF(R118&lt;0,"Perdedora","BE")))</f>
        <v/>
      </c>
      <c r="V118" s="23" t="n"/>
      <c r="W118" s="23" t="n"/>
      <c r="X118" s="23" t="n"/>
      <c r="Y118" s="23" t="n"/>
      <c r="Z118" s="23" t="n"/>
      <c r="AA118" s="23" t="n"/>
      <c r="AB118" s="30" t="n"/>
      <c r="AC118" s="1" t="n"/>
      <c r="AD118" s="1" t="str">
        <f>IF(G118="","",IFERROR(INDEX('Listas'!$N$6:$N$35,MATCH(G118,'Listas'!$M$6:$M$35,0)),""))</f>
        <v/>
      </c>
      <c r="AE118">
        <f>IF(G118="",1,IFERROR(INDEX('Listas'!$P$6:$P$35,MATCH(G118,'Listas'!$M$6:$M$35,0)),1))</f>
        <v>1</v>
      </c>
      <c r="AF118">
        <f>IF(H118="Compra",1,IF(H118="Venta",-1,0))</f>
        <v>0</v>
      </c>
      <c r="AG118">
        <f>IF(AND(D118&lt;&gt;"",ISNUMBER(R118)),1,0)</f>
        <v>0</v>
      </c>
      <c r="AH118">
        <f>IF(AG118=0,0,IF(OR('Panel'!$D$5="Todas las cuentas",'Panel'!$D$5="",F118='Panel'!$D$5),1,0))</f>
        <v>0</v>
      </c>
      <c r="AI118">
        <f>IF(AH118=0,0,IF(AND(OR('Panel'!$G$5="",D118&gt;='Panel'!$G$5),OR('Panel'!$J$5="",D118&lt;='Panel'!$J$5)),1,0))</f>
        <v>0</v>
      </c>
      <c r="AJ118">
        <f>IF(AI118=1,R118,0)</f>
        <v>0</v>
      </c>
      <c r="AK118" t="str">
        <f>IF(AI118=1,'Panel'!$AB$4+SUM($AJ$5:AJ118),"")</f>
        <v/>
      </c>
      <c r="AL118">
        <f>IF(AI118=0,N(AL117),IF(R118&lt;0,N(AL117)+1,0))</f>
        <v>1</v>
      </c>
      <c r="AM118">
        <f>IF(AI118=0,N(AM117),IF(R118&gt;0,N(AM117)+1,0))</f>
        <v>0</v>
      </c>
      <c r="AN118">
        <f>IF(AI118=1,MAX('Panel'!$AB$4,N(AN117),AK118),N(AN117))</f>
        <v>21371.061500000033</v>
      </c>
      <c r="AO118">
        <f>IF(AI118=1,AN118-AK118,0)</f>
        <v>0</v>
      </c>
      <c r="AP118">
        <f>IF(AND(AI118=1,AN118&gt;0),AO118/AN118,0)</f>
        <v>0</v>
      </c>
      <c r="AQ118" t="str">
        <f>IF(AI118=1,SUM($AI$5:AI118),"")</f>
        <v/>
      </c>
      <c r="AR118" t="str">
        <f>IF(AI118=1,IF(COUNTIFS($D$5:D118,D118,$AI$5:AI118,1)=1,SUMIFS($AJ$5:$AJ$504,$D$5:$D$504,D118),""),"")</f>
        <v/>
      </c>
      <c r="AS118" t="str">
        <f>IF(AG118=1,WEEKDAY(D118,2),"")</f>
        <v/>
      </c>
      <c r="AT118" s="31" t="str">
        <f>IF(AG118=1,DATE(YEAR(D118),MONTH(D118),1),"")</f>
        <v/>
      </c>
      <c r="AU118">
        <f>IF(AG118=0,0,IF(AND(OR('Prop challenge'!$D$7="",F118='Prop challenge'!$D$7),OR('Prop challenge'!$D$9="",D118&gt;='Prop challenge'!$D$9)),1,0))</f>
        <v>0</v>
      </c>
      <c r="AV118">
        <f>IF(AU118=1,IF(COUNTIFS($D$5:D118,D118,$AU$5:AU118,1)=1,1,0),0)</f>
        <v>0</v>
      </c>
      <c r="AW118" t="str">
        <f>IF(AV118=1,SUM($AV$5:AV118),"")</f>
        <v/>
      </c>
      <c r="AX118" t="str">
        <f>IF(AV118=1,SUMIFS($R$5:$R$504,$D$5:$D$504,D118,$AU$5:$AU$504,1),"")</f>
        <v/>
      </c>
    </row>
    <row r="119">
      <c r="A119" s="20" t="str">
        <f>IF(AG119=1,ROW()-4,"")</f>
        <v/>
      </c>
      <c r="B119" s="21" t="n"/>
      <c r="C119" s="22" t="n"/>
      <c r="D119" s="21" t="n"/>
      <c r="E119" s="22" t="n"/>
      <c r="F119" s="23" t="n"/>
      <c r="G119" s="23" t="n"/>
      <c r="H119" s="23" t="n"/>
      <c r="I119" s="24" t="n"/>
      <c r="J119" s="25" t="n"/>
      <c r="K119" s="25" t="n"/>
      <c r="L119" s="25" t="n"/>
      <c r="M119" s="25" t="n"/>
      <c r="N119" s="26" t="n"/>
      <c r="O119" s="26" t="n"/>
      <c r="P119" s="27" t="str">
        <f>IF(OR(J119="",K119="",I119="",AF119=0,AD119=""),"",(K119-J119)*AF119*I119*AD119*AE119)</f>
        <v/>
      </c>
      <c r="Q119" s="26" t="n"/>
      <c r="R119" s="28" t="str">
        <f>IF(Q119&lt;&gt;"",Q119,IF(P119="","",P119-N(N119)+N(O119)))</f>
        <v/>
      </c>
      <c r="S119" s="27" t="str">
        <f>IF(OR(L119="",J119="",I119="",AD119=""),"",ABS(J119-L119)*I119*AD119*AE119)</f>
        <v/>
      </c>
      <c r="T119" s="29" t="str">
        <f>IF(OR(R119="",S119="",S119=0),"",R119/S119)</f>
        <v/>
      </c>
      <c r="U119" s="20" t="str">
        <f>IF(R119="","",IF(R119&gt;0,"Ganadora",IF(R119&lt;0,"Perdedora","BE")))</f>
        <v/>
      </c>
      <c r="V119" s="23" t="n"/>
      <c r="W119" s="23" t="n"/>
      <c r="X119" s="23" t="n"/>
      <c r="Y119" s="23" t="n"/>
      <c r="Z119" s="23" t="n"/>
      <c r="AA119" s="23" t="n"/>
      <c r="AB119" s="30" t="n"/>
      <c r="AC119" s="1" t="n"/>
      <c r="AD119" s="1" t="str">
        <f>IF(G119="","",IFERROR(INDEX('Listas'!$N$6:$N$35,MATCH(G119,'Listas'!$M$6:$M$35,0)),""))</f>
        <v/>
      </c>
      <c r="AE119">
        <f>IF(G119="",1,IFERROR(INDEX('Listas'!$P$6:$P$35,MATCH(G119,'Listas'!$M$6:$M$35,0)),1))</f>
        <v>1</v>
      </c>
      <c r="AF119">
        <f>IF(H119="Compra",1,IF(H119="Venta",-1,0))</f>
        <v>0</v>
      </c>
      <c r="AG119">
        <f>IF(AND(D119&lt;&gt;"",ISNUMBER(R119)),1,0)</f>
        <v>0</v>
      </c>
      <c r="AH119">
        <f>IF(AG119=0,0,IF(OR('Panel'!$D$5="Todas las cuentas",'Panel'!$D$5="",F119='Panel'!$D$5),1,0))</f>
        <v>0</v>
      </c>
      <c r="AI119">
        <f>IF(AH119=0,0,IF(AND(OR('Panel'!$G$5="",D119&gt;='Panel'!$G$5),OR('Panel'!$J$5="",D119&lt;='Panel'!$J$5)),1,0))</f>
        <v>0</v>
      </c>
      <c r="AJ119">
        <f>IF(AI119=1,R119,0)</f>
        <v>0</v>
      </c>
      <c r="AK119" t="str">
        <f>IF(AI119=1,'Panel'!$AB$4+SUM($AJ$5:AJ119),"")</f>
        <v/>
      </c>
      <c r="AL119">
        <f>IF(AI119=0,N(AL118),IF(R119&lt;0,N(AL118)+1,0))</f>
        <v>1</v>
      </c>
      <c r="AM119">
        <f>IF(AI119=0,N(AM118),IF(R119&gt;0,N(AM118)+1,0))</f>
        <v>0</v>
      </c>
      <c r="AN119">
        <f>IF(AI119=1,MAX('Panel'!$AB$4,N(AN118),AK119),N(AN118))</f>
        <v>21371.061500000033</v>
      </c>
      <c r="AO119">
        <f>IF(AI119=1,AN119-AK119,0)</f>
        <v>0</v>
      </c>
      <c r="AP119">
        <f>IF(AND(AI119=1,AN119&gt;0),AO119/AN119,0)</f>
        <v>0</v>
      </c>
      <c r="AQ119" t="str">
        <f>IF(AI119=1,SUM($AI$5:AI119),"")</f>
        <v/>
      </c>
      <c r="AR119" t="str">
        <f>IF(AI119=1,IF(COUNTIFS($D$5:D119,D119,$AI$5:AI119,1)=1,SUMIFS($AJ$5:$AJ$504,$D$5:$D$504,D119),""),"")</f>
        <v/>
      </c>
      <c r="AS119" t="str">
        <f>IF(AG119=1,WEEKDAY(D119,2),"")</f>
        <v/>
      </c>
      <c r="AT119" s="31" t="str">
        <f>IF(AG119=1,DATE(YEAR(D119),MONTH(D119),1),"")</f>
        <v/>
      </c>
      <c r="AU119">
        <f>IF(AG119=0,0,IF(AND(OR('Prop challenge'!$D$7="",F119='Prop challenge'!$D$7),OR('Prop challenge'!$D$9="",D119&gt;='Prop challenge'!$D$9)),1,0))</f>
        <v>0</v>
      </c>
      <c r="AV119">
        <f>IF(AU119=1,IF(COUNTIFS($D$5:D119,D119,$AU$5:AU119,1)=1,1,0),0)</f>
        <v>0</v>
      </c>
      <c r="AW119" t="str">
        <f>IF(AV119=1,SUM($AV$5:AV119),"")</f>
        <v/>
      </c>
      <c r="AX119" t="str">
        <f>IF(AV119=1,SUMIFS($R$5:$R$504,$D$5:$D$504,D119,$AU$5:$AU$504,1),"")</f>
        <v/>
      </c>
    </row>
    <row r="120">
      <c r="A120" s="20" t="str">
        <f>IF(AG120=1,ROW()-4,"")</f>
        <v/>
      </c>
      <c r="B120" s="21" t="n"/>
      <c r="C120" s="22" t="n"/>
      <c r="D120" s="21" t="n"/>
      <c r="E120" s="22" t="n"/>
      <c r="F120" s="23" t="n"/>
      <c r="G120" s="23" t="n"/>
      <c r="H120" s="23" t="n"/>
      <c r="I120" s="24" t="n"/>
      <c r="J120" s="25" t="n"/>
      <c r="K120" s="25" t="n"/>
      <c r="L120" s="25" t="n"/>
      <c r="M120" s="25" t="n"/>
      <c r="N120" s="26" t="n"/>
      <c r="O120" s="26" t="n"/>
      <c r="P120" s="27" t="str">
        <f>IF(OR(J120="",K120="",I120="",AF120=0,AD120=""),"",(K120-J120)*AF120*I120*AD120*AE120)</f>
        <v/>
      </c>
      <c r="Q120" s="26" t="n"/>
      <c r="R120" s="28" t="str">
        <f>IF(Q120&lt;&gt;"",Q120,IF(P120="","",P120-N(N120)+N(O120)))</f>
        <v/>
      </c>
      <c r="S120" s="27" t="str">
        <f>IF(OR(L120="",J120="",I120="",AD120=""),"",ABS(J120-L120)*I120*AD120*AE120)</f>
        <v/>
      </c>
      <c r="T120" s="29" t="str">
        <f>IF(OR(R120="",S120="",S120=0),"",R120/S120)</f>
        <v/>
      </c>
      <c r="U120" s="20" t="str">
        <f>IF(R120="","",IF(R120&gt;0,"Ganadora",IF(R120&lt;0,"Perdedora","BE")))</f>
        <v/>
      </c>
      <c r="V120" s="23" t="n"/>
      <c r="W120" s="23" t="n"/>
      <c r="X120" s="23" t="n"/>
      <c r="Y120" s="23" t="n"/>
      <c r="Z120" s="23" t="n"/>
      <c r="AA120" s="23" t="n"/>
      <c r="AB120" s="30" t="n"/>
      <c r="AC120" s="1" t="n"/>
      <c r="AD120" s="1" t="str">
        <f>IF(G120="","",IFERROR(INDEX('Listas'!$N$6:$N$35,MATCH(G120,'Listas'!$M$6:$M$35,0)),""))</f>
        <v/>
      </c>
      <c r="AE120">
        <f>IF(G120="",1,IFERROR(INDEX('Listas'!$P$6:$P$35,MATCH(G120,'Listas'!$M$6:$M$35,0)),1))</f>
        <v>1</v>
      </c>
      <c r="AF120">
        <f>IF(H120="Compra",1,IF(H120="Venta",-1,0))</f>
        <v>0</v>
      </c>
      <c r="AG120">
        <f>IF(AND(D120&lt;&gt;"",ISNUMBER(R120)),1,0)</f>
        <v>0</v>
      </c>
      <c r="AH120">
        <f>IF(AG120=0,0,IF(OR('Panel'!$D$5="Todas las cuentas",'Panel'!$D$5="",F120='Panel'!$D$5),1,0))</f>
        <v>0</v>
      </c>
      <c r="AI120">
        <f>IF(AH120=0,0,IF(AND(OR('Panel'!$G$5="",D120&gt;='Panel'!$G$5),OR('Panel'!$J$5="",D120&lt;='Panel'!$J$5)),1,0))</f>
        <v>0</v>
      </c>
      <c r="AJ120">
        <f>IF(AI120=1,R120,0)</f>
        <v>0</v>
      </c>
      <c r="AK120" t="str">
        <f>IF(AI120=1,'Panel'!$AB$4+SUM($AJ$5:AJ120),"")</f>
        <v/>
      </c>
      <c r="AL120">
        <f>IF(AI120=0,N(AL119),IF(R120&lt;0,N(AL119)+1,0))</f>
        <v>1</v>
      </c>
      <c r="AM120">
        <f>IF(AI120=0,N(AM119),IF(R120&gt;0,N(AM119)+1,0))</f>
        <v>0</v>
      </c>
      <c r="AN120">
        <f>IF(AI120=1,MAX('Panel'!$AB$4,N(AN119),AK120),N(AN119))</f>
        <v>21371.061500000033</v>
      </c>
      <c r="AO120">
        <f>IF(AI120=1,AN120-AK120,0)</f>
        <v>0</v>
      </c>
      <c r="AP120">
        <f>IF(AND(AI120=1,AN120&gt;0),AO120/AN120,0)</f>
        <v>0</v>
      </c>
      <c r="AQ120" t="str">
        <f>IF(AI120=1,SUM($AI$5:AI120),"")</f>
        <v/>
      </c>
      <c r="AR120" t="str">
        <f>IF(AI120=1,IF(COUNTIFS($D$5:D120,D120,$AI$5:AI120,1)=1,SUMIFS($AJ$5:$AJ$504,$D$5:$D$504,D120),""),"")</f>
        <v/>
      </c>
      <c r="AS120" t="str">
        <f>IF(AG120=1,WEEKDAY(D120,2),"")</f>
        <v/>
      </c>
      <c r="AT120" s="31" t="str">
        <f>IF(AG120=1,DATE(YEAR(D120),MONTH(D120),1),"")</f>
        <v/>
      </c>
      <c r="AU120">
        <f>IF(AG120=0,0,IF(AND(OR('Prop challenge'!$D$7="",F120='Prop challenge'!$D$7),OR('Prop challenge'!$D$9="",D120&gt;='Prop challenge'!$D$9)),1,0))</f>
        <v>0</v>
      </c>
      <c r="AV120">
        <f>IF(AU120=1,IF(COUNTIFS($D$5:D120,D120,$AU$5:AU120,1)=1,1,0),0)</f>
        <v>0</v>
      </c>
      <c r="AW120" t="str">
        <f>IF(AV120=1,SUM($AV$5:AV120),"")</f>
        <v/>
      </c>
      <c r="AX120" t="str">
        <f>IF(AV120=1,SUMIFS($R$5:$R$504,$D$5:$D$504,D120,$AU$5:$AU$504,1),"")</f>
        <v/>
      </c>
    </row>
    <row r="121">
      <c r="A121" s="20" t="str">
        <f>IF(AG121=1,ROW()-4,"")</f>
        <v/>
      </c>
      <c r="B121" s="21" t="n"/>
      <c r="C121" s="22" t="n"/>
      <c r="D121" s="21" t="n"/>
      <c r="E121" s="22" t="n"/>
      <c r="F121" s="23" t="n"/>
      <c r="G121" s="23" t="n"/>
      <c r="H121" s="23" t="n"/>
      <c r="I121" s="24" t="n"/>
      <c r="J121" s="25" t="n"/>
      <c r="K121" s="25" t="n"/>
      <c r="L121" s="25" t="n"/>
      <c r="M121" s="25" t="n"/>
      <c r="N121" s="26" t="n"/>
      <c r="O121" s="26" t="n"/>
      <c r="P121" s="27" t="str">
        <f>IF(OR(J121="",K121="",I121="",AF121=0,AD121=""),"",(K121-J121)*AF121*I121*AD121*AE121)</f>
        <v/>
      </c>
      <c r="Q121" s="26" t="n"/>
      <c r="R121" s="28" t="str">
        <f>IF(Q121&lt;&gt;"",Q121,IF(P121="","",P121-N(N121)+N(O121)))</f>
        <v/>
      </c>
      <c r="S121" s="27" t="str">
        <f>IF(OR(L121="",J121="",I121="",AD121=""),"",ABS(J121-L121)*I121*AD121*AE121)</f>
        <v/>
      </c>
      <c r="T121" s="29" t="str">
        <f>IF(OR(R121="",S121="",S121=0),"",R121/S121)</f>
        <v/>
      </c>
      <c r="U121" s="20" t="str">
        <f>IF(R121="","",IF(R121&gt;0,"Ganadora",IF(R121&lt;0,"Perdedora","BE")))</f>
        <v/>
      </c>
      <c r="V121" s="23" t="n"/>
      <c r="W121" s="23" t="n"/>
      <c r="X121" s="23" t="n"/>
      <c r="Y121" s="23" t="n"/>
      <c r="Z121" s="23" t="n"/>
      <c r="AA121" s="23" t="n"/>
      <c r="AB121" s="30" t="n"/>
      <c r="AC121" s="1" t="n"/>
      <c r="AD121" s="1" t="str">
        <f>IF(G121="","",IFERROR(INDEX('Listas'!$N$6:$N$35,MATCH(G121,'Listas'!$M$6:$M$35,0)),""))</f>
        <v/>
      </c>
      <c r="AE121">
        <f>IF(G121="",1,IFERROR(INDEX('Listas'!$P$6:$P$35,MATCH(G121,'Listas'!$M$6:$M$35,0)),1))</f>
        <v>1</v>
      </c>
      <c r="AF121">
        <f>IF(H121="Compra",1,IF(H121="Venta",-1,0))</f>
        <v>0</v>
      </c>
      <c r="AG121">
        <f>IF(AND(D121&lt;&gt;"",ISNUMBER(R121)),1,0)</f>
        <v>0</v>
      </c>
      <c r="AH121">
        <f>IF(AG121=0,0,IF(OR('Panel'!$D$5="Todas las cuentas",'Panel'!$D$5="",F121='Panel'!$D$5),1,0))</f>
        <v>0</v>
      </c>
      <c r="AI121">
        <f>IF(AH121=0,0,IF(AND(OR('Panel'!$G$5="",D121&gt;='Panel'!$G$5),OR('Panel'!$J$5="",D121&lt;='Panel'!$J$5)),1,0))</f>
        <v>0</v>
      </c>
      <c r="AJ121">
        <f>IF(AI121=1,R121,0)</f>
        <v>0</v>
      </c>
      <c r="AK121" t="str">
        <f>IF(AI121=1,'Panel'!$AB$4+SUM($AJ$5:AJ121),"")</f>
        <v/>
      </c>
      <c r="AL121">
        <f>IF(AI121=0,N(AL120),IF(R121&lt;0,N(AL120)+1,0))</f>
        <v>1</v>
      </c>
      <c r="AM121">
        <f>IF(AI121=0,N(AM120),IF(R121&gt;0,N(AM120)+1,0))</f>
        <v>0</v>
      </c>
      <c r="AN121">
        <f>IF(AI121=1,MAX('Panel'!$AB$4,N(AN120),AK121),N(AN120))</f>
        <v>21371.061500000033</v>
      </c>
      <c r="AO121">
        <f>IF(AI121=1,AN121-AK121,0)</f>
        <v>0</v>
      </c>
      <c r="AP121">
        <f>IF(AND(AI121=1,AN121&gt;0),AO121/AN121,0)</f>
        <v>0</v>
      </c>
      <c r="AQ121" t="str">
        <f>IF(AI121=1,SUM($AI$5:AI121),"")</f>
        <v/>
      </c>
      <c r="AR121" t="str">
        <f>IF(AI121=1,IF(COUNTIFS($D$5:D121,D121,$AI$5:AI121,1)=1,SUMIFS($AJ$5:$AJ$504,$D$5:$D$504,D121),""),"")</f>
        <v/>
      </c>
      <c r="AS121" t="str">
        <f>IF(AG121=1,WEEKDAY(D121,2),"")</f>
        <v/>
      </c>
      <c r="AT121" s="31" t="str">
        <f>IF(AG121=1,DATE(YEAR(D121),MONTH(D121),1),"")</f>
        <v/>
      </c>
      <c r="AU121">
        <f>IF(AG121=0,0,IF(AND(OR('Prop challenge'!$D$7="",F121='Prop challenge'!$D$7),OR('Prop challenge'!$D$9="",D121&gt;='Prop challenge'!$D$9)),1,0))</f>
        <v>0</v>
      </c>
      <c r="AV121">
        <f>IF(AU121=1,IF(COUNTIFS($D$5:D121,D121,$AU$5:AU121,1)=1,1,0),0)</f>
        <v>0</v>
      </c>
      <c r="AW121" t="str">
        <f>IF(AV121=1,SUM($AV$5:AV121),"")</f>
        <v/>
      </c>
      <c r="AX121" t="str">
        <f>IF(AV121=1,SUMIFS($R$5:$R$504,$D$5:$D$504,D121,$AU$5:$AU$504,1),"")</f>
        <v/>
      </c>
    </row>
    <row r="122">
      <c r="A122" s="20" t="str">
        <f>IF(AG122=1,ROW()-4,"")</f>
        <v/>
      </c>
      <c r="B122" s="21" t="n"/>
      <c r="C122" s="22" t="n"/>
      <c r="D122" s="21" t="n"/>
      <c r="E122" s="22" t="n"/>
      <c r="F122" s="23" t="n"/>
      <c r="G122" s="23" t="n"/>
      <c r="H122" s="23" t="n"/>
      <c r="I122" s="24" t="n"/>
      <c r="J122" s="25" t="n"/>
      <c r="K122" s="25" t="n"/>
      <c r="L122" s="25" t="n"/>
      <c r="M122" s="25" t="n"/>
      <c r="N122" s="26" t="n"/>
      <c r="O122" s="26" t="n"/>
      <c r="P122" s="27" t="str">
        <f>IF(OR(J122="",K122="",I122="",AF122=0,AD122=""),"",(K122-J122)*AF122*I122*AD122*AE122)</f>
        <v/>
      </c>
      <c r="Q122" s="26" t="n"/>
      <c r="R122" s="28" t="str">
        <f>IF(Q122&lt;&gt;"",Q122,IF(P122="","",P122-N(N122)+N(O122)))</f>
        <v/>
      </c>
      <c r="S122" s="27" t="str">
        <f>IF(OR(L122="",J122="",I122="",AD122=""),"",ABS(J122-L122)*I122*AD122*AE122)</f>
        <v/>
      </c>
      <c r="T122" s="29" t="str">
        <f>IF(OR(R122="",S122="",S122=0),"",R122/S122)</f>
        <v/>
      </c>
      <c r="U122" s="20" t="str">
        <f>IF(R122="","",IF(R122&gt;0,"Ganadora",IF(R122&lt;0,"Perdedora","BE")))</f>
        <v/>
      </c>
      <c r="V122" s="23" t="n"/>
      <c r="W122" s="23" t="n"/>
      <c r="X122" s="23" t="n"/>
      <c r="Y122" s="23" t="n"/>
      <c r="Z122" s="23" t="n"/>
      <c r="AA122" s="23" t="n"/>
      <c r="AB122" s="30" t="n"/>
      <c r="AC122" s="1" t="n"/>
      <c r="AD122" s="1" t="str">
        <f>IF(G122="","",IFERROR(INDEX('Listas'!$N$6:$N$35,MATCH(G122,'Listas'!$M$6:$M$35,0)),""))</f>
        <v/>
      </c>
      <c r="AE122">
        <f>IF(G122="",1,IFERROR(INDEX('Listas'!$P$6:$P$35,MATCH(G122,'Listas'!$M$6:$M$35,0)),1))</f>
        <v>1</v>
      </c>
      <c r="AF122">
        <f>IF(H122="Compra",1,IF(H122="Venta",-1,0))</f>
        <v>0</v>
      </c>
      <c r="AG122">
        <f>IF(AND(D122&lt;&gt;"",ISNUMBER(R122)),1,0)</f>
        <v>0</v>
      </c>
      <c r="AH122">
        <f>IF(AG122=0,0,IF(OR('Panel'!$D$5="Todas las cuentas",'Panel'!$D$5="",F122='Panel'!$D$5),1,0))</f>
        <v>0</v>
      </c>
      <c r="AI122">
        <f>IF(AH122=0,0,IF(AND(OR('Panel'!$G$5="",D122&gt;='Panel'!$G$5),OR('Panel'!$J$5="",D122&lt;='Panel'!$J$5)),1,0))</f>
        <v>0</v>
      </c>
      <c r="AJ122">
        <f>IF(AI122=1,R122,0)</f>
        <v>0</v>
      </c>
      <c r="AK122" t="str">
        <f>IF(AI122=1,'Panel'!$AB$4+SUM($AJ$5:AJ122),"")</f>
        <v/>
      </c>
      <c r="AL122">
        <f>IF(AI122=0,N(AL121),IF(R122&lt;0,N(AL121)+1,0))</f>
        <v>1</v>
      </c>
      <c r="AM122">
        <f>IF(AI122=0,N(AM121),IF(R122&gt;0,N(AM121)+1,0))</f>
        <v>0</v>
      </c>
      <c r="AN122">
        <f>IF(AI122=1,MAX('Panel'!$AB$4,N(AN121),AK122),N(AN121))</f>
        <v>21371.061500000033</v>
      </c>
      <c r="AO122">
        <f>IF(AI122=1,AN122-AK122,0)</f>
        <v>0</v>
      </c>
      <c r="AP122">
        <f>IF(AND(AI122=1,AN122&gt;0),AO122/AN122,0)</f>
        <v>0</v>
      </c>
      <c r="AQ122" t="str">
        <f>IF(AI122=1,SUM($AI$5:AI122),"")</f>
        <v/>
      </c>
      <c r="AR122" t="str">
        <f>IF(AI122=1,IF(COUNTIFS($D$5:D122,D122,$AI$5:AI122,1)=1,SUMIFS($AJ$5:$AJ$504,$D$5:$D$504,D122),""),"")</f>
        <v/>
      </c>
      <c r="AS122" t="str">
        <f>IF(AG122=1,WEEKDAY(D122,2),"")</f>
        <v/>
      </c>
      <c r="AT122" s="31" t="str">
        <f>IF(AG122=1,DATE(YEAR(D122),MONTH(D122),1),"")</f>
        <v/>
      </c>
      <c r="AU122">
        <f>IF(AG122=0,0,IF(AND(OR('Prop challenge'!$D$7="",F122='Prop challenge'!$D$7),OR('Prop challenge'!$D$9="",D122&gt;='Prop challenge'!$D$9)),1,0))</f>
        <v>0</v>
      </c>
      <c r="AV122">
        <f>IF(AU122=1,IF(COUNTIFS($D$5:D122,D122,$AU$5:AU122,1)=1,1,0),0)</f>
        <v>0</v>
      </c>
      <c r="AW122" t="str">
        <f>IF(AV122=1,SUM($AV$5:AV122),"")</f>
        <v/>
      </c>
      <c r="AX122" t="str">
        <f>IF(AV122=1,SUMIFS($R$5:$R$504,$D$5:$D$504,D122,$AU$5:$AU$504,1),"")</f>
        <v/>
      </c>
    </row>
    <row r="123">
      <c r="A123" s="20" t="str">
        <f>IF(AG123=1,ROW()-4,"")</f>
        <v/>
      </c>
      <c r="B123" s="21" t="n"/>
      <c r="C123" s="22" t="n"/>
      <c r="D123" s="21" t="n"/>
      <c r="E123" s="22" t="n"/>
      <c r="F123" s="23" t="n"/>
      <c r="G123" s="23" t="n"/>
      <c r="H123" s="23" t="n"/>
      <c r="I123" s="24" t="n"/>
      <c r="J123" s="25" t="n"/>
      <c r="K123" s="25" t="n"/>
      <c r="L123" s="25" t="n"/>
      <c r="M123" s="25" t="n"/>
      <c r="N123" s="26" t="n"/>
      <c r="O123" s="26" t="n"/>
      <c r="P123" s="27" t="str">
        <f>IF(OR(J123="",K123="",I123="",AF123=0,AD123=""),"",(K123-J123)*AF123*I123*AD123*AE123)</f>
        <v/>
      </c>
      <c r="Q123" s="26" t="n"/>
      <c r="R123" s="28" t="str">
        <f>IF(Q123&lt;&gt;"",Q123,IF(P123="","",P123-N(N123)+N(O123)))</f>
        <v/>
      </c>
      <c r="S123" s="27" t="str">
        <f>IF(OR(L123="",J123="",I123="",AD123=""),"",ABS(J123-L123)*I123*AD123*AE123)</f>
        <v/>
      </c>
      <c r="T123" s="29" t="str">
        <f>IF(OR(R123="",S123="",S123=0),"",R123/S123)</f>
        <v/>
      </c>
      <c r="U123" s="20" t="str">
        <f>IF(R123="","",IF(R123&gt;0,"Ganadora",IF(R123&lt;0,"Perdedora","BE")))</f>
        <v/>
      </c>
      <c r="V123" s="23" t="n"/>
      <c r="W123" s="23" t="n"/>
      <c r="X123" s="23" t="n"/>
      <c r="Y123" s="23" t="n"/>
      <c r="Z123" s="23" t="n"/>
      <c r="AA123" s="23" t="n"/>
      <c r="AB123" s="30" t="n"/>
      <c r="AC123" s="1" t="n"/>
      <c r="AD123" s="1" t="str">
        <f>IF(G123="","",IFERROR(INDEX('Listas'!$N$6:$N$35,MATCH(G123,'Listas'!$M$6:$M$35,0)),""))</f>
        <v/>
      </c>
      <c r="AE123">
        <f>IF(G123="",1,IFERROR(INDEX('Listas'!$P$6:$P$35,MATCH(G123,'Listas'!$M$6:$M$35,0)),1))</f>
        <v>1</v>
      </c>
      <c r="AF123">
        <f>IF(H123="Compra",1,IF(H123="Venta",-1,0))</f>
        <v>0</v>
      </c>
      <c r="AG123">
        <f>IF(AND(D123&lt;&gt;"",ISNUMBER(R123)),1,0)</f>
        <v>0</v>
      </c>
      <c r="AH123">
        <f>IF(AG123=0,0,IF(OR('Panel'!$D$5="Todas las cuentas",'Panel'!$D$5="",F123='Panel'!$D$5),1,0))</f>
        <v>0</v>
      </c>
      <c r="AI123">
        <f>IF(AH123=0,0,IF(AND(OR('Panel'!$G$5="",D123&gt;='Panel'!$G$5),OR('Panel'!$J$5="",D123&lt;='Panel'!$J$5)),1,0))</f>
        <v>0</v>
      </c>
      <c r="AJ123">
        <f>IF(AI123=1,R123,0)</f>
        <v>0</v>
      </c>
      <c r="AK123" t="str">
        <f>IF(AI123=1,'Panel'!$AB$4+SUM($AJ$5:AJ123),"")</f>
        <v/>
      </c>
      <c r="AL123">
        <f>IF(AI123=0,N(AL122),IF(R123&lt;0,N(AL122)+1,0))</f>
        <v>1</v>
      </c>
      <c r="AM123">
        <f>IF(AI123=0,N(AM122),IF(R123&gt;0,N(AM122)+1,0))</f>
        <v>0</v>
      </c>
      <c r="AN123">
        <f>IF(AI123=1,MAX('Panel'!$AB$4,N(AN122),AK123),N(AN122))</f>
        <v>21371.061500000033</v>
      </c>
      <c r="AO123">
        <f>IF(AI123=1,AN123-AK123,0)</f>
        <v>0</v>
      </c>
      <c r="AP123">
        <f>IF(AND(AI123=1,AN123&gt;0),AO123/AN123,0)</f>
        <v>0</v>
      </c>
      <c r="AQ123" t="str">
        <f>IF(AI123=1,SUM($AI$5:AI123),"")</f>
        <v/>
      </c>
      <c r="AR123" t="str">
        <f>IF(AI123=1,IF(COUNTIFS($D$5:D123,D123,$AI$5:AI123,1)=1,SUMIFS($AJ$5:$AJ$504,$D$5:$D$504,D123),""),"")</f>
        <v/>
      </c>
      <c r="AS123" t="str">
        <f>IF(AG123=1,WEEKDAY(D123,2),"")</f>
        <v/>
      </c>
      <c r="AT123" s="31" t="str">
        <f>IF(AG123=1,DATE(YEAR(D123),MONTH(D123),1),"")</f>
        <v/>
      </c>
      <c r="AU123">
        <f>IF(AG123=0,0,IF(AND(OR('Prop challenge'!$D$7="",F123='Prop challenge'!$D$7),OR('Prop challenge'!$D$9="",D123&gt;='Prop challenge'!$D$9)),1,0))</f>
        <v>0</v>
      </c>
      <c r="AV123">
        <f>IF(AU123=1,IF(COUNTIFS($D$5:D123,D123,$AU$5:AU123,1)=1,1,0),0)</f>
        <v>0</v>
      </c>
      <c r="AW123" t="str">
        <f>IF(AV123=1,SUM($AV$5:AV123),"")</f>
        <v/>
      </c>
      <c r="AX123" t="str">
        <f>IF(AV123=1,SUMIFS($R$5:$R$504,$D$5:$D$504,D123,$AU$5:$AU$504,1),"")</f>
        <v/>
      </c>
    </row>
    <row r="124">
      <c r="A124" s="20" t="str">
        <f>IF(AG124=1,ROW()-4,"")</f>
        <v/>
      </c>
      <c r="B124" s="21" t="n"/>
      <c r="C124" s="22" t="n"/>
      <c r="D124" s="21" t="n"/>
      <c r="E124" s="22" t="n"/>
      <c r="F124" s="23" t="n"/>
      <c r="G124" s="23" t="n"/>
      <c r="H124" s="23" t="n"/>
      <c r="I124" s="24" t="n"/>
      <c r="J124" s="25" t="n"/>
      <c r="K124" s="25" t="n"/>
      <c r="L124" s="25" t="n"/>
      <c r="M124" s="25" t="n"/>
      <c r="N124" s="26" t="n"/>
      <c r="O124" s="26" t="n"/>
      <c r="P124" s="27" t="str">
        <f>IF(OR(J124="",K124="",I124="",AF124=0,AD124=""),"",(K124-J124)*AF124*I124*AD124*AE124)</f>
        <v/>
      </c>
      <c r="Q124" s="26" t="n"/>
      <c r="R124" s="28" t="str">
        <f>IF(Q124&lt;&gt;"",Q124,IF(P124="","",P124-N(N124)+N(O124)))</f>
        <v/>
      </c>
      <c r="S124" s="27" t="str">
        <f>IF(OR(L124="",J124="",I124="",AD124=""),"",ABS(J124-L124)*I124*AD124*AE124)</f>
        <v/>
      </c>
      <c r="T124" s="29" t="str">
        <f>IF(OR(R124="",S124="",S124=0),"",R124/S124)</f>
        <v/>
      </c>
      <c r="U124" s="20" t="str">
        <f>IF(R124="","",IF(R124&gt;0,"Ganadora",IF(R124&lt;0,"Perdedora","BE")))</f>
        <v/>
      </c>
      <c r="V124" s="23" t="n"/>
      <c r="W124" s="23" t="n"/>
      <c r="X124" s="23" t="n"/>
      <c r="Y124" s="23" t="n"/>
      <c r="Z124" s="23" t="n"/>
      <c r="AA124" s="23" t="n"/>
      <c r="AB124" s="30" t="n"/>
      <c r="AC124" s="1" t="n"/>
      <c r="AD124" s="1" t="str">
        <f>IF(G124="","",IFERROR(INDEX('Listas'!$N$6:$N$35,MATCH(G124,'Listas'!$M$6:$M$35,0)),""))</f>
        <v/>
      </c>
      <c r="AE124">
        <f>IF(G124="",1,IFERROR(INDEX('Listas'!$P$6:$P$35,MATCH(G124,'Listas'!$M$6:$M$35,0)),1))</f>
        <v>1</v>
      </c>
      <c r="AF124">
        <f>IF(H124="Compra",1,IF(H124="Venta",-1,0))</f>
        <v>0</v>
      </c>
      <c r="AG124">
        <f>IF(AND(D124&lt;&gt;"",ISNUMBER(R124)),1,0)</f>
        <v>0</v>
      </c>
      <c r="AH124">
        <f>IF(AG124=0,0,IF(OR('Panel'!$D$5="Todas las cuentas",'Panel'!$D$5="",F124='Panel'!$D$5),1,0))</f>
        <v>0</v>
      </c>
      <c r="AI124">
        <f>IF(AH124=0,0,IF(AND(OR('Panel'!$G$5="",D124&gt;='Panel'!$G$5),OR('Panel'!$J$5="",D124&lt;='Panel'!$J$5)),1,0))</f>
        <v>0</v>
      </c>
      <c r="AJ124">
        <f>IF(AI124=1,R124,0)</f>
        <v>0</v>
      </c>
      <c r="AK124" t="str">
        <f>IF(AI124=1,'Panel'!$AB$4+SUM($AJ$5:AJ124),"")</f>
        <v/>
      </c>
      <c r="AL124">
        <f>IF(AI124=0,N(AL123),IF(R124&lt;0,N(AL123)+1,0))</f>
        <v>1</v>
      </c>
      <c r="AM124">
        <f>IF(AI124=0,N(AM123),IF(R124&gt;0,N(AM123)+1,0))</f>
        <v>0</v>
      </c>
      <c r="AN124">
        <f>IF(AI124=1,MAX('Panel'!$AB$4,N(AN123),AK124),N(AN123))</f>
        <v>21371.061500000033</v>
      </c>
      <c r="AO124">
        <f>IF(AI124=1,AN124-AK124,0)</f>
        <v>0</v>
      </c>
      <c r="AP124">
        <f>IF(AND(AI124=1,AN124&gt;0),AO124/AN124,0)</f>
        <v>0</v>
      </c>
      <c r="AQ124" t="str">
        <f>IF(AI124=1,SUM($AI$5:AI124),"")</f>
        <v/>
      </c>
      <c r="AR124" t="str">
        <f>IF(AI124=1,IF(COUNTIFS($D$5:D124,D124,$AI$5:AI124,1)=1,SUMIFS($AJ$5:$AJ$504,$D$5:$D$504,D124),""),"")</f>
        <v/>
      </c>
      <c r="AS124" t="str">
        <f>IF(AG124=1,WEEKDAY(D124,2),"")</f>
        <v/>
      </c>
      <c r="AT124" s="31" t="str">
        <f>IF(AG124=1,DATE(YEAR(D124),MONTH(D124),1),"")</f>
        <v/>
      </c>
      <c r="AU124">
        <f>IF(AG124=0,0,IF(AND(OR('Prop challenge'!$D$7="",F124='Prop challenge'!$D$7),OR('Prop challenge'!$D$9="",D124&gt;='Prop challenge'!$D$9)),1,0))</f>
        <v>0</v>
      </c>
      <c r="AV124">
        <f>IF(AU124=1,IF(COUNTIFS($D$5:D124,D124,$AU$5:AU124,1)=1,1,0),0)</f>
        <v>0</v>
      </c>
      <c r="AW124" t="str">
        <f>IF(AV124=1,SUM($AV$5:AV124),"")</f>
        <v/>
      </c>
      <c r="AX124" t="str">
        <f>IF(AV124=1,SUMIFS($R$5:$R$504,$D$5:$D$504,D124,$AU$5:$AU$504,1),"")</f>
        <v/>
      </c>
    </row>
    <row r="125">
      <c r="A125" s="20" t="str">
        <f>IF(AG125=1,ROW()-4,"")</f>
        <v/>
      </c>
      <c r="B125" s="21" t="n"/>
      <c r="C125" s="22" t="n"/>
      <c r="D125" s="21" t="n"/>
      <c r="E125" s="22" t="n"/>
      <c r="F125" s="23" t="n"/>
      <c r="G125" s="23" t="n"/>
      <c r="H125" s="23" t="n"/>
      <c r="I125" s="24" t="n"/>
      <c r="J125" s="25" t="n"/>
      <c r="K125" s="25" t="n"/>
      <c r="L125" s="25" t="n"/>
      <c r="M125" s="25" t="n"/>
      <c r="N125" s="26" t="n"/>
      <c r="O125" s="26" t="n"/>
      <c r="P125" s="27" t="str">
        <f>IF(OR(J125="",K125="",I125="",AF125=0,AD125=""),"",(K125-J125)*AF125*I125*AD125*AE125)</f>
        <v/>
      </c>
      <c r="Q125" s="26" t="n"/>
      <c r="R125" s="28" t="str">
        <f>IF(Q125&lt;&gt;"",Q125,IF(P125="","",P125-N(N125)+N(O125)))</f>
        <v/>
      </c>
      <c r="S125" s="27" t="str">
        <f>IF(OR(L125="",J125="",I125="",AD125=""),"",ABS(J125-L125)*I125*AD125*AE125)</f>
        <v/>
      </c>
      <c r="T125" s="29" t="str">
        <f>IF(OR(R125="",S125="",S125=0),"",R125/S125)</f>
        <v/>
      </c>
      <c r="U125" s="20" t="str">
        <f>IF(R125="","",IF(R125&gt;0,"Ganadora",IF(R125&lt;0,"Perdedora","BE")))</f>
        <v/>
      </c>
      <c r="V125" s="23" t="n"/>
      <c r="W125" s="23" t="n"/>
      <c r="X125" s="23" t="n"/>
      <c r="Y125" s="23" t="n"/>
      <c r="Z125" s="23" t="n"/>
      <c r="AA125" s="23" t="n"/>
      <c r="AB125" s="30" t="n"/>
      <c r="AC125" s="1" t="n"/>
      <c r="AD125" s="1" t="str">
        <f>IF(G125="","",IFERROR(INDEX('Listas'!$N$6:$N$35,MATCH(G125,'Listas'!$M$6:$M$35,0)),""))</f>
        <v/>
      </c>
      <c r="AE125">
        <f>IF(G125="",1,IFERROR(INDEX('Listas'!$P$6:$P$35,MATCH(G125,'Listas'!$M$6:$M$35,0)),1))</f>
        <v>1</v>
      </c>
      <c r="AF125">
        <f>IF(H125="Compra",1,IF(H125="Venta",-1,0))</f>
        <v>0</v>
      </c>
      <c r="AG125">
        <f>IF(AND(D125&lt;&gt;"",ISNUMBER(R125)),1,0)</f>
        <v>0</v>
      </c>
      <c r="AH125">
        <f>IF(AG125=0,0,IF(OR('Panel'!$D$5="Todas las cuentas",'Panel'!$D$5="",F125='Panel'!$D$5),1,0))</f>
        <v>0</v>
      </c>
      <c r="AI125">
        <f>IF(AH125=0,0,IF(AND(OR('Panel'!$G$5="",D125&gt;='Panel'!$G$5),OR('Panel'!$J$5="",D125&lt;='Panel'!$J$5)),1,0))</f>
        <v>0</v>
      </c>
      <c r="AJ125">
        <f>IF(AI125=1,R125,0)</f>
        <v>0</v>
      </c>
      <c r="AK125" t="str">
        <f>IF(AI125=1,'Panel'!$AB$4+SUM($AJ$5:AJ125),"")</f>
        <v/>
      </c>
      <c r="AL125">
        <f>IF(AI125=0,N(AL124),IF(R125&lt;0,N(AL124)+1,0))</f>
        <v>1</v>
      </c>
      <c r="AM125">
        <f>IF(AI125=0,N(AM124),IF(R125&gt;0,N(AM124)+1,0))</f>
        <v>0</v>
      </c>
      <c r="AN125">
        <f>IF(AI125=1,MAX('Panel'!$AB$4,N(AN124),AK125),N(AN124))</f>
        <v>21371.061500000033</v>
      </c>
      <c r="AO125">
        <f>IF(AI125=1,AN125-AK125,0)</f>
        <v>0</v>
      </c>
      <c r="AP125">
        <f>IF(AND(AI125=1,AN125&gt;0),AO125/AN125,0)</f>
        <v>0</v>
      </c>
      <c r="AQ125" t="str">
        <f>IF(AI125=1,SUM($AI$5:AI125),"")</f>
        <v/>
      </c>
      <c r="AR125" t="str">
        <f>IF(AI125=1,IF(COUNTIFS($D$5:D125,D125,$AI$5:AI125,1)=1,SUMIFS($AJ$5:$AJ$504,$D$5:$D$504,D125),""),"")</f>
        <v/>
      </c>
      <c r="AS125" t="str">
        <f>IF(AG125=1,WEEKDAY(D125,2),"")</f>
        <v/>
      </c>
      <c r="AT125" s="31" t="str">
        <f>IF(AG125=1,DATE(YEAR(D125),MONTH(D125),1),"")</f>
        <v/>
      </c>
      <c r="AU125">
        <f>IF(AG125=0,0,IF(AND(OR('Prop challenge'!$D$7="",F125='Prop challenge'!$D$7),OR('Prop challenge'!$D$9="",D125&gt;='Prop challenge'!$D$9)),1,0))</f>
        <v>0</v>
      </c>
      <c r="AV125">
        <f>IF(AU125=1,IF(COUNTIFS($D$5:D125,D125,$AU$5:AU125,1)=1,1,0),0)</f>
        <v>0</v>
      </c>
      <c r="AW125" t="str">
        <f>IF(AV125=1,SUM($AV$5:AV125),"")</f>
        <v/>
      </c>
      <c r="AX125" t="str">
        <f>IF(AV125=1,SUMIFS($R$5:$R$504,$D$5:$D$504,D125,$AU$5:$AU$504,1),"")</f>
        <v/>
      </c>
    </row>
    <row r="126">
      <c r="A126" s="20" t="str">
        <f>IF(AG126=1,ROW()-4,"")</f>
        <v/>
      </c>
      <c r="B126" s="21" t="n"/>
      <c r="C126" s="22" t="n"/>
      <c r="D126" s="21" t="n"/>
      <c r="E126" s="22" t="n"/>
      <c r="F126" s="23" t="n"/>
      <c r="G126" s="23" t="n"/>
      <c r="H126" s="23" t="n"/>
      <c r="I126" s="24" t="n"/>
      <c r="J126" s="25" t="n"/>
      <c r="K126" s="25" t="n"/>
      <c r="L126" s="25" t="n"/>
      <c r="M126" s="25" t="n"/>
      <c r="N126" s="26" t="n"/>
      <c r="O126" s="26" t="n"/>
      <c r="P126" s="27" t="str">
        <f>IF(OR(J126="",K126="",I126="",AF126=0,AD126=""),"",(K126-J126)*AF126*I126*AD126*AE126)</f>
        <v/>
      </c>
      <c r="Q126" s="26" t="n"/>
      <c r="R126" s="28" t="str">
        <f>IF(Q126&lt;&gt;"",Q126,IF(P126="","",P126-N(N126)+N(O126)))</f>
        <v/>
      </c>
      <c r="S126" s="27" t="str">
        <f>IF(OR(L126="",J126="",I126="",AD126=""),"",ABS(J126-L126)*I126*AD126*AE126)</f>
        <v/>
      </c>
      <c r="T126" s="29" t="str">
        <f>IF(OR(R126="",S126="",S126=0),"",R126/S126)</f>
        <v/>
      </c>
      <c r="U126" s="20" t="str">
        <f>IF(R126="","",IF(R126&gt;0,"Ganadora",IF(R126&lt;0,"Perdedora","BE")))</f>
        <v/>
      </c>
      <c r="V126" s="23" t="n"/>
      <c r="W126" s="23" t="n"/>
      <c r="X126" s="23" t="n"/>
      <c r="Y126" s="23" t="n"/>
      <c r="Z126" s="23" t="n"/>
      <c r="AA126" s="23" t="n"/>
      <c r="AB126" s="30" t="n"/>
      <c r="AC126" s="1" t="n"/>
      <c r="AD126" s="1" t="str">
        <f>IF(G126="","",IFERROR(INDEX('Listas'!$N$6:$N$35,MATCH(G126,'Listas'!$M$6:$M$35,0)),""))</f>
        <v/>
      </c>
      <c r="AE126">
        <f>IF(G126="",1,IFERROR(INDEX('Listas'!$P$6:$P$35,MATCH(G126,'Listas'!$M$6:$M$35,0)),1))</f>
        <v>1</v>
      </c>
      <c r="AF126">
        <f>IF(H126="Compra",1,IF(H126="Venta",-1,0))</f>
        <v>0</v>
      </c>
      <c r="AG126">
        <f>IF(AND(D126&lt;&gt;"",ISNUMBER(R126)),1,0)</f>
        <v>0</v>
      </c>
      <c r="AH126">
        <f>IF(AG126=0,0,IF(OR('Panel'!$D$5="Todas las cuentas",'Panel'!$D$5="",F126='Panel'!$D$5),1,0))</f>
        <v>0</v>
      </c>
      <c r="AI126">
        <f>IF(AH126=0,0,IF(AND(OR('Panel'!$G$5="",D126&gt;='Panel'!$G$5),OR('Panel'!$J$5="",D126&lt;='Panel'!$J$5)),1,0))</f>
        <v>0</v>
      </c>
      <c r="AJ126">
        <f>IF(AI126=1,R126,0)</f>
        <v>0</v>
      </c>
      <c r="AK126" t="str">
        <f>IF(AI126=1,'Panel'!$AB$4+SUM($AJ$5:AJ126),"")</f>
        <v/>
      </c>
      <c r="AL126">
        <f>IF(AI126=0,N(AL125),IF(R126&lt;0,N(AL125)+1,0))</f>
        <v>1</v>
      </c>
      <c r="AM126">
        <f>IF(AI126=0,N(AM125),IF(R126&gt;0,N(AM125)+1,0))</f>
        <v>0</v>
      </c>
      <c r="AN126">
        <f>IF(AI126=1,MAX('Panel'!$AB$4,N(AN125),AK126),N(AN125))</f>
        <v>21371.061500000033</v>
      </c>
      <c r="AO126">
        <f>IF(AI126=1,AN126-AK126,0)</f>
        <v>0</v>
      </c>
      <c r="AP126">
        <f>IF(AND(AI126=1,AN126&gt;0),AO126/AN126,0)</f>
        <v>0</v>
      </c>
      <c r="AQ126" t="str">
        <f>IF(AI126=1,SUM($AI$5:AI126),"")</f>
        <v/>
      </c>
      <c r="AR126" t="str">
        <f>IF(AI126=1,IF(COUNTIFS($D$5:D126,D126,$AI$5:AI126,1)=1,SUMIFS($AJ$5:$AJ$504,$D$5:$D$504,D126),""),"")</f>
        <v/>
      </c>
      <c r="AS126" t="str">
        <f>IF(AG126=1,WEEKDAY(D126,2),"")</f>
        <v/>
      </c>
      <c r="AT126" s="31" t="str">
        <f>IF(AG126=1,DATE(YEAR(D126),MONTH(D126),1),"")</f>
        <v/>
      </c>
      <c r="AU126">
        <f>IF(AG126=0,0,IF(AND(OR('Prop challenge'!$D$7="",F126='Prop challenge'!$D$7),OR('Prop challenge'!$D$9="",D126&gt;='Prop challenge'!$D$9)),1,0))</f>
        <v>0</v>
      </c>
      <c r="AV126">
        <f>IF(AU126=1,IF(COUNTIFS($D$5:D126,D126,$AU$5:AU126,1)=1,1,0),0)</f>
        <v>0</v>
      </c>
      <c r="AW126" t="str">
        <f>IF(AV126=1,SUM($AV$5:AV126),"")</f>
        <v/>
      </c>
      <c r="AX126" t="str">
        <f>IF(AV126=1,SUMIFS($R$5:$R$504,$D$5:$D$504,D126,$AU$5:$AU$504,1),"")</f>
        <v/>
      </c>
    </row>
    <row r="127">
      <c r="A127" s="20" t="str">
        <f>IF(AG127=1,ROW()-4,"")</f>
        <v/>
      </c>
      <c r="B127" s="21" t="n"/>
      <c r="C127" s="22" t="n"/>
      <c r="D127" s="21" t="n"/>
      <c r="E127" s="22" t="n"/>
      <c r="F127" s="23" t="n"/>
      <c r="G127" s="23" t="n"/>
      <c r="H127" s="23" t="n"/>
      <c r="I127" s="24" t="n"/>
      <c r="J127" s="25" t="n"/>
      <c r="K127" s="25" t="n"/>
      <c r="L127" s="25" t="n"/>
      <c r="M127" s="25" t="n"/>
      <c r="N127" s="26" t="n"/>
      <c r="O127" s="26" t="n"/>
      <c r="P127" s="27" t="str">
        <f>IF(OR(J127="",K127="",I127="",AF127=0,AD127=""),"",(K127-J127)*AF127*I127*AD127*AE127)</f>
        <v/>
      </c>
      <c r="Q127" s="26" t="n"/>
      <c r="R127" s="28" t="str">
        <f>IF(Q127&lt;&gt;"",Q127,IF(P127="","",P127-N(N127)+N(O127)))</f>
        <v/>
      </c>
      <c r="S127" s="27" t="str">
        <f>IF(OR(L127="",J127="",I127="",AD127=""),"",ABS(J127-L127)*I127*AD127*AE127)</f>
        <v/>
      </c>
      <c r="T127" s="29" t="str">
        <f>IF(OR(R127="",S127="",S127=0),"",R127/S127)</f>
        <v/>
      </c>
      <c r="U127" s="20" t="str">
        <f>IF(R127="","",IF(R127&gt;0,"Ganadora",IF(R127&lt;0,"Perdedora","BE")))</f>
        <v/>
      </c>
      <c r="V127" s="23" t="n"/>
      <c r="W127" s="23" t="n"/>
      <c r="X127" s="23" t="n"/>
      <c r="Y127" s="23" t="n"/>
      <c r="Z127" s="23" t="n"/>
      <c r="AA127" s="23" t="n"/>
      <c r="AB127" s="30" t="n"/>
      <c r="AC127" s="1" t="n"/>
      <c r="AD127" s="1" t="str">
        <f>IF(G127="","",IFERROR(INDEX('Listas'!$N$6:$N$35,MATCH(G127,'Listas'!$M$6:$M$35,0)),""))</f>
        <v/>
      </c>
      <c r="AE127">
        <f>IF(G127="",1,IFERROR(INDEX('Listas'!$P$6:$P$35,MATCH(G127,'Listas'!$M$6:$M$35,0)),1))</f>
        <v>1</v>
      </c>
      <c r="AF127">
        <f>IF(H127="Compra",1,IF(H127="Venta",-1,0))</f>
        <v>0</v>
      </c>
      <c r="AG127">
        <f>IF(AND(D127&lt;&gt;"",ISNUMBER(R127)),1,0)</f>
        <v>0</v>
      </c>
      <c r="AH127">
        <f>IF(AG127=0,0,IF(OR('Panel'!$D$5="Todas las cuentas",'Panel'!$D$5="",F127='Panel'!$D$5),1,0))</f>
        <v>0</v>
      </c>
      <c r="AI127">
        <f>IF(AH127=0,0,IF(AND(OR('Panel'!$G$5="",D127&gt;='Panel'!$G$5),OR('Panel'!$J$5="",D127&lt;='Panel'!$J$5)),1,0))</f>
        <v>0</v>
      </c>
      <c r="AJ127">
        <f>IF(AI127=1,R127,0)</f>
        <v>0</v>
      </c>
      <c r="AK127" t="str">
        <f>IF(AI127=1,'Panel'!$AB$4+SUM($AJ$5:AJ127),"")</f>
        <v/>
      </c>
      <c r="AL127">
        <f>IF(AI127=0,N(AL126),IF(R127&lt;0,N(AL126)+1,0))</f>
        <v>1</v>
      </c>
      <c r="AM127">
        <f>IF(AI127=0,N(AM126),IF(R127&gt;0,N(AM126)+1,0))</f>
        <v>0</v>
      </c>
      <c r="AN127">
        <f>IF(AI127=1,MAX('Panel'!$AB$4,N(AN126),AK127),N(AN126))</f>
        <v>21371.061500000033</v>
      </c>
      <c r="AO127">
        <f>IF(AI127=1,AN127-AK127,0)</f>
        <v>0</v>
      </c>
      <c r="AP127">
        <f>IF(AND(AI127=1,AN127&gt;0),AO127/AN127,0)</f>
        <v>0</v>
      </c>
      <c r="AQ127" t="str">
        <f>IF(AI127=1,SUM($AI$5:AI127),"")</f>
        <v/>
      </c>
      <c r="AR127" t="str">
        <f>IF(AI127=1,IF(COUNTIFS($D$5:D127,D127,$AI$5:AI127,1)=1,SUMIFS($AJ$5:$AJ$504,$D$5:$D$504,D127),""),"")</f>
        <v/>
      </c>
      <c r="AS127" t="str">
        <f>IF(AG127=1,WEEKDAY(D127,2),"")</f>
        <v/>
      </c>
      <c r="AT127" s="31" t="str">
        <f>IF(AG127=1,DATE(YEAR(D127),MONTH(D127),1),"")</f>
        <v/>
      </c>
      <c r="AU127">
        <f>IF(AG127=0,0,IF(AND(OR('Prop challenge'!$D$7="",F127='Prop challenge'!$D$7),OR('Prop challenge'!$D$9="",D127&gt;='Prop challenge'!$D$9)),1,0))</f>
        <v>0</v>
      </c>
      <c r="AV127">
        <f>IF(AU127=1,IF(COUNTIFS($D$5:D127,D127,$AU$5:AU127,1)=1,1,0),0)</f>
        <v>0</v>
      </c>
      <c r="AW127" t="str">
        <f>IF(AV127=1,SUM($AV$5:AV127),"")</f>
        <v/>
      </c>
      <c r="AX127" t="str">
        <f>IF(AV127=1,SUMIFS($R$5:$R$504,$D$5:$D$504,D127,$AU$5:$AU$504,1),"")</f>
        <v/>
      </c>
    </row>
    <row r="128">
      <c r="A128" s="20" t="str">
        <f>IF(AG128=1,ROW()-4,"")</f>
        <v/>
      </c>
      <c r="B128" s="21" t="n"/>
      <c r="C128" s="22" t="n"/>
      <c r="D128" s="21" t="n"/>
      <c r="E128" s="22" t="n"/>
      <c r="F128" s="23" t="n"/>
      <c r="G128" s="23" t="n"/>
      <c r="H128" s="23" t="n"/>
      <c r="I128" s="24" t="n"/>
      <c r="J128" s="25" t="n"/>
      <c r="K128" s="25" t="n"/>
      <c r="L128" s="25" t="n"/>
      <c r="M128" s="25" t="n"/>
      <c r="N128" s="26" t="n"/>
      <c r="O128" s="26" t="n"/>
      <c r="P128" s="27" t="str">
        <f>IF(OR(J128="",K128="",I128="",AF128=0,AD128=""),"",(K128-J128)*AF128*I128*AD128*AE128)</f>
        <v/>
      </c>
      <c r="Q128" s="26" t="n"/>
      <c r="R128" s="28" t="str">
        <f>IF(Q128&lt;&gt;"",Q128,IF(P128="","",P128-N(N128)+N(O128)))</f>
        <v/>
      </c>
      <c r="S128" s="27" t="str">
        <f>IF(OR(L128="",J128="",I128="",AD128=""),"",ABS(J128-L128)*I128*AD128*AE128)</f>
        <v/>
      </c>
      <c r="T128" s="29" t="str">
        <f>IF(OR(R128="",S128="",S128=0),"",R128/S128)</f>
        <v/>
      </c>
      <c r="U128" s="20" t="str">
        <f>IF(R128="","",IF(R128&gt;0,"Ganadora",IF(R128&lt;0,"Perdedora","BE")))</f>
        <v/>
      </c>
      <c r="V128" s="23" t="n"/>
      <c r="W128" s="23" t="n"/>
      <c r="X128" s="23" t="n"/>
      <c r="Y128" s="23" t="n"/>
      <c r="Z128" s="23" t="n"/>
      <c r="AA128" s="23" t="n"/>
      <c r="AB128" s="30" t="n"/>
      <c r="AC128" s="1" t="n"/>
      <c r="AD128" s="1" t="str">
        <f>IF(G128="","",IFERROR(INDEX('Listas'!$N$6:$N$35,MATCH(G128,'Listas'!$M$6:$M$35,0)),""))</f>
        <v/>
      </c>
      <c r="AE128">
        <f>IF(G128="",1,IFERROR(INDEX('Listas'!$P$6:$P$35,MATCH(G128,'Listas'!$M$6:$M$35,0)),1))</f>
        <v>1</v>
      </c>
      <c r="AF128">
        <f>IF(H128="Compra",1,IF(H128="Venta",-1,0))</f>
        <v>0</v>
      </c>
      <c r="AG128">
        <f>IF(AND(D128&lt;&gt;"",ISNUMBER(R128)),1,0)</f>
        <v>0</v>
      </c>
      <c r="AH128">
        <f>IF(AG128=0,0,IF(OR('Panel'!$D$5="Todas las cuentas",'Panel'!$D$5="",F128='Panel'!$D$5),1,0))</f>
        <v>0</v>
      </c>
      <c r="AI128">
        <f>IF(AH128=0,0,IF(AND(OR('Panel'!$G$5="",D128&gt;='Panel'!$G$5),OR('Panel'!$J$5="",D128&lt;='Panel'!$J$5)),1,0))</f>
        <v>0</v>
      </c>
      <c r="AJ128">
        <f>IF(AI128=1,R128,0)</f>
        <v>0</v>
      </c>
      <c r="AK128" t="str">
        <f>IF(AI128=1,'Panel'!$AB$4+SUM($AJ$5:AJ128),"")</f>
        <v/>
      </c>
      <c r="AL128">
        <f>IF(AI128=0,N(AL127),IF(R128&lt;0,N(AL127)+1,0))</f>
        <v>1</v>
      </c>
      <c r="AM128">
        <f>IF(AI128=0,N(AM127),IF(R128&gt;0,N(AM127)+1,0))</f>
        <v>0</v>
      </c>
      <c r="AN128">
        <f>IF(AI128=1,MAX('Panel'!$AB$4,N(AN127),AK128),N(AN127))</f>
        <v>21371.061500000033</v>
      </c>
      <c r="AO128">
        <f>IF(AI128=1,AN128-AK128,0)</f>
        <v>0</v>
      </c>
      <c r="AP128">
        <f>IF(AND(AI128=1,AN128&gt;0),AO128/AN128,0)</f>
        <v>0</v>
      </c>
      <c r="AQ128" t="str">
        <f>IF(AI128=1,SUM($AI$5:AI128),"")</f>
        <v/>
      </c>
      <c r="AR128" t="str">
        <f>IF(AI128=1,IF(COUNTIFS($D$5:D128,D128,$AI$5:AI128,1)=1,SUMIFS($AJ$5:$AJ$504,$D$5:$D$504,D128),""),"")</f>
        <v/>
      </c>
      <c r="AS128" t="str">
        <f>IF(AG128=1,WEEKDAY(D128,2),"")</f>
        <v/>
      </c>
      <c r="AT128" s="31" t="str">
        <f>IF(AG128=1,DATE(YEAR(D128),MONTH(D128),1),"")</f>
        <v/>
      </c>
      <c r="AU128">
        <f>IF(AG128=0,0,IF(AND(OR('Prop challenge'!$D$7="",F128='Prop challenge'!$D$7),OR('Prop challenge'!$D$9="",D128&gt;='Prop challenge'!$D$9)),1,0))</f>
        <v>0</v>
      </c>
      <c r="AV128">
        <f>IF(AU128=1,IF(COUNTIFS($D$5:D128,D128,$AU$5:AU128,1)=1,1,0),0)</f>
        <v>0</v>
      </c>
      <c r="AW128" t="str">
        <f>IF(AV128=1,SUM($AV$5:AV128),"")</f>
        <v/>
      </c>
      <c r="AX128" t="str">
        <f>IF(AV128=1,SUMIFS($R$5:$R$504,$D$5:$D$504,D128,$AU$5:$AU$504,1),"")</f>
        <v/>
      </c>
    </row>
    <row r="129">
      <c r="A129" s="20" t="str">
        <f>IF(AG129=1,ROW()-4,"")</f>
        <v/>
      </c>
      <c r="B129" s="21" t="n"/>
      <c r="C129" s="22" t="n"/>
      <c r="D129" s="21" t="n"/>
      <c r="E129" s="22" t="n"/>
      <c r="F129" s="23" t="n"/>
      <c r="G129" s="23" t="n"/>
      <c r="H129" s="23" t="n"/>
      <c r="I129" s="24" t="n"/>
      <c r="J129" s="25" t="n"/>
      <c r="K129" s="25" t="n"/>
      <c r="L129" s="25" t="n"/>
      <c r="M129" s="25" t="n"/>
      <c r="N129" s="26" t="n"/>
      <c r="O129" s="26" t="n"/>
      <c r="P129" s="27" t="str">
        <f>IF(OR(J129="",K129="",I129="",AF129=0,AD129=""),"",(K129-J129)*AF129*I129*AD129*AE129)</f>
        <v/>
      </c>
      <c r="Q129" s="26" t="n"/>
      <c r="R129" s="28" t="str">
        <f>IF(Q129&lt;&gt;"",Q129,IF(P129="","",P129-N(N129)+N(O129)))</f>
        <v/>
      </c>
      <c r="S129" s="27" t="str">
        <f>IF(OR(L129="",J129="",I129="",AD129=""),"",ABS(J129-L129)*I129*AD129*AE129)</f>
        <v/>
      </c>
      <c r="T129" s="29" t="str">
        <f>IF(OR(R129="",S129="",S129=0),"",R129/S129)</f>
        <v/>
      </c>
      <c r="U129" s="20" t="str">
        <f>IF(R129="","",IF(R129&gt;0,"Ganadora",IF(R129&lt;0,"Perdedora","BE")))</f>
        <v/>
      </c>
      <c r="V129" s="23" t="n"/>
      <c r="W129" s="23" t="n"/>
      <c r="X129" s="23" t="n"/>
      <c r="Y129" s="23" t="n"/>
      <c r="Z129" s="23" t="n"/>
      <c r="AA129" s="23" t="n"/>
      <c r="AB129" s="30" t="n"/>
      <c r="AC129" s="1" t="n"/>
      <c r="AD129" s="1" t="str">
        <f>IF(G129="","",IFERROR(INDEX('Listas'!$N$6:$N$35,MATCH(G129,'Listas'!$M$6:$M$35,0)),""))</f>
        <v/>
      </c>
      <c r="AE129">
        <f>IF(G129="",1,IFERROR(INDEX('Listas'!$P$6:$P$35,MATCH(G129,'Listas'!$M$6:$M$35,0)),1))</f>
        <v>1</v>
      </c>
      <c r="AF129">
        <f>IF(H129="Compra",1,IF(H129="Venta",-1,0))</f>
        <v>0</v>
      </c>
      <c r="AG129">
        <f>IF(AND(D129&lt;&gt;"",ISNUMBER(R129)),1,0)</f>
        <v>0</v>
      </c>
      <c r="AH129">
        <f>IF(AG129=0,0,IF(OR('Panel'!$D$5="Todas las cuentas",'Panel'!$D$5="",F129='Panel'!$D$5),1,0))</f>
        <v>0</v>
      </c>
      <c r="AI129">
        <f>IF(AH129=0,0,IF(AND(OR('Panel'!$G$5="",D129&gt;='Panel'!$G$5),OR('Panel'!$J$5="",D129&lt;='Panel'!$J$5)),1,0))</f>
        <v>0</v>
      </c>
      <c r="AJ129">
        <f>IF(AI129=1,R129,0)</f>
        <v>0</v>
      </c>
      <c r="AK129" t="str">
        <f>IF(AI129=1,'Panel'!$AB$4+SUM($AJ$5:AJ129),"")</f>
        <v/>
      </c>
      <c r="AL129">
        <f>IF(AI129=0,N(AL128),IF(R129&lt;0,N(AL128)+1,0))</f>
        <v>1</v>
      </c>
      <c r="AM129">
        <f>IF(AI129=0,N(AM128),IF(R129&gt;0,N(AM128)+1,0))</f>
        <v>0</v>
      </c>
      <c r="AN129">
        <f>IF(AI129=1,MAX('Panel'!$AB$4,N(AN128),AK129),N(AN128))</f>
        <v>21371.061500000033</v>
      </c>
      <c r="AO129">
        <f>IF(AI129=1,AN129-AK129,0)</f>
        <v>0</v>
      </c>
      <c r="AP129">
        <f>IF(AND(AI129=1,AN129&gt;0),AO129/AN129,0)</f>
        <v>0</v>
      </c>
      <c r="AQ129" t="str">
        <f>IF(AI129=1,SUM($AI$5:AI129),"")</f>
        <v/>
      </c>
      <c r="AR129" t="str">
        <f>IF(AI129=1,IF(COUNTIFS($D$5:D129,D129,$AI$5:AI129,1)=1,SUMIFS($AJ$5:$AJ$504,$D$5:$D$504,D129),""),"")</f>
        <v/>
      </c>
      <c r="AS129" t="str">
        <f>IF(AG129=1,WEEKDAY(D129,2),"")</f>
        <v/>
      </c>
      <c r="AT129" s="31" t="str">
        <f>IF(AG129=1,DATE(YEAR(D129),MONTH(D129),1),"")</f>
        <v/>
      </c>
      <c r="AU129">
        <f>IF(AG129=0,0,IF(AND(OR('Prop challenge'!$D$7="",F129='Prop challenge'!$D$7),OR('Prop challenge'!$D$9="",D129&gt;='Prop challenge'!$D$9)),1,0))</f>
        <v>0</v>
      </c>
      <c r="AV129">
        <f>IF(AU129=1,IF(COUNTIFS($D$5:D129,D129,$AU$5:AU129,1)=1,1,0),0)</f>
        <v>0</v>
      </c>
      <c r="AW129" t="str">
        <f>IF(AV129=1,SUM($AV$5:AV129),"")</f>
        <v/>
      </c>
      <c r="AX129" t="str">
        <f>IF(AV129=1,SUMIFS($R$5:$R$504,$D$5:$D$504,D129,$AU$5:$AU$504,1),"")</f>
        <v/>
      </c>
    </row>
    <row r="130">
      <c r="A130" s="20" t="str">
        <f>IF(AG130=1,ROW()-4,"")</f>
        <v/>
      </c>
      <c r="B130" s="21" t="n"/>
      <c r="C130" s="22" t="n"/>
      <c r="D130" s="21" t="n"/>
      <c r="E130" s="22" t="n"/>
      <c r="F130" s="23" t="n"/>
      <c r="G130" s="23" t="n"/>
      <c r="H130" s="23" t="n"/>
      <c r="I130" s="24" t="n"/>
      <c r="J130" s="25" t="n"/>
      <c r="K130" s="25" t="n"/>
      <c r="L130" s="25" t="n"/>
      <c r="M130" s="25" t="n"/>
      <c r="N130" s="26" t="n"/>
      <c r="O130" s="26" t="n"/>
      <c r="P130" s="27" t="str">
        <f>IF(OR(J130="",K130="",I130="",AF130=0,AD130=""),"",(K130-J130)*AF130*I130*AD130*AE130)</f>
        <v/>
      </c>
      <c r="Q130" s="26" t="n"/>
      <c r="R130" s="28" t="str">
        <f>IF(Q130&lt;&gt;"",Q130,IF(P130="","",P130-N(N130)+N(O130)))</f>
        <v/>
      </c>
      <c r="S130" s="27" t="str">
        <f>IF(OR(L130="",J130="",I130="",AD130=""),"",ABS(J130-L130)*I130*AD130*AE130)</f>
        <v/>
      </c>
      <c r="T130" s="29" t="str">
        <f>IF(OR(R130="",S130="",S130=0),"",R130/S130)</f>
        <v/>
      </c>
      <c r="U130" s="20" t="str">
        <f>IF(R130="","",IF(R130&gt;0,"Ganadora",IF(R130&lt;0,"Perdedora","BE")))</f>
        <v/>
      </c>
      <c r="V130" s="23" t="n"/>
      <c r="W130" s="23" t="n"/>
      <c r="X130" s="23" t="n"/>
      <c r="Y130" s="23" t="n"/>
      <c r="Z130" s="23" t="n"/>
      <c r="AA130" s="23" t="n"/>
      <c r="AB130" s="30" t="n"/>
      <c r="AC130" s="1" t="n"/>
      <c r="AD130" s="1" t="str">
        <f>IF(G130="","",IFERROR(INDEX('Listas'!$N$6:$N$35,MATCH(G130,'Listas'!$M$6:$M$35,0)),""))</f>
        <v/>
      </c>
      <c r="AE130">
        <f>IF(G130="",1,IFERROR(INDEX('Listas'!$P$6:$P$35,MATCH(G130,'Listas'!$M$6:$M$35,0)),1))</f>
        <v>1</v>
      </c>
      <c r="AF130">
        <f>IF(H130="Compra",1,IF(H130="Venta",-1,0))</f>
        <v>0</v>
      </c>
      <c r="AG130">
        <f>IF(AND(D130&lt;&gt;"",ISNUMBER(R130)),1,0)</f>
        <v>0</v>
      </c>
      <c r="AH130">
        <f>IF(AG130=0,0,IF(OR('Panel'!$D$5="Todas las cuentas",'Panel'!$D$5="",F130='Panel'!$D$5),1,0))</f>
        <v>0</v>
      </c>
      <c r="AI130">
        <f>IF(AH130=0,0,IF(AND(OR('Panel'!$G$5="",D130&gt;='Panel'!$G$5),OR('Panel'!$J$5="",D130&lt;='Panel'!$J$5)),1,0))</f>
        <v>0</v>
      </c>
      <c r="AJ130">
        <f>IF(AI130=1,R130,0)</f>
        <v>0</v>
      </c>
      <c r="AK130" t="str">
        <f>IF(AI130=1,'Panel'!$AB$4+SUM($AJ$5:AJ130),"")</f>
        <v/>
      </c>
      <c r="AL130">
        <f>IF(AI130=0,N(AL129),IF(R130&lt;0,N(AL129)+1,0))</f>
        <v>1</v>
      </c>
      <c r="AM130">
        <f>IF(AI130=0,N(AM129),IF(R130&gt;0,N(AM129)+1,0))</f>
        <v>0</v>
      </c>
      <c r="AN130">
        <f>IF(AI130=1,MAX('Panel'!$AB$4,N(AN129),AK130),N(AN129))</f>
        <v>21371.061500000033</v>
      </c>
      <c r="AO130">
        <f>IF(AI130=1,AN130-AK130,0)</f>
        <v>0</v>
      </c>
      <c r="AP130">
        <f>IF(AND(AI130=1,AN130&gt;0),AO130/AN130,0)</f>
        <v>0</v>
      </c>
      <c r="AQ130" t="str">
        <f>IF(AI130=1,SUM($AI$5:AI130),"")</f>
        <v/>
      </c>
      <c r="AR130" t="str">
        <f>IF(AI130=1,IF(COUNTIFS($D$5:D130,D130,$AI$5:AI130,1)=1,SUMIFS($AJ$5:$AJ$504,$D$5:$D$504,D130),""),"")</f>
        <v/>
      </c>
      <c r="AS130" t="str">
        <f>IF(AG130=1,WEEKDAY(D130,2),"")</f>
        <v/>
      </c>
      <c r="AT130" s="31" t="str">
        <f>IF(AG130=1,DATE(YEAR(D130),MONTH(D130),1),"")</f>
        <v/>
      </c>
      <c r="AU130">
        <f>IF(AG130=0,0,IF(AND(OR('Prop challenge'!$D$7="",F130='Prop challenge'!$D$7),OR('Prop challenge'!$D$9="",D130&gt;='Prop challenge'!$D$9)),1,0))</f>
        <v>0</v>
      </c>
      <c r="AV130">
        <f>IF(AU130=1,IF(COUNTIFS($D$5:D130,D130,$AU$5:AU130,1)=1,1,0),0)</f>
        <v>0</v>
      </c>
      <c r="AW130" t="str">
        <f>IF(AV130=1,SUM($AV$5:AV130),"")</f>
        <v/>
      </c>
      <c r="AX130" t="str">
        <f>IF(AV130=1,SUMIFS($R$5:$R$504,$D$5:$D$504,D130,$AU$5:$AU$504,1),"")</f>
        <v/>
      </c>
    </row>
    <row r="131">
      <c r="A131" s="20" t="str">
        <f>IF(AG131=1,ROW()-4,"")</f>
        <v/>
      </c>
      <c r="B131" s="21" t="n"/>
      <c r="C131" s="22" t="n"/>
      <c r="D131" s="21" t="n"/>
      <c r="E131" s="22" t="n"/>
      <c r="F131" s="23" t="n"/>
      <c r="G131" s="23" t="n"/>
      <c r="H131" s="23" t="n"/>
      <c r="I131" s="24" t="n"/>
      <c r="J131" s="25" t="n"/>
      <c r="K131" s="25" t="n"/>
      <c r="L131" s="25" t="n"/>
      <c r="M131" s="25" t="n"/>
      <c r="N131" s="26" t="n"/>
      <c r="O131" s="26" t="n"/>
      <c r="P131" s="27" t="str">
        <f>IF(OR(J131="",K131="",I131="",AF131=0,AD131=""),"",(K131-J131)*AF131*I131*AD131*AE131)</f>
        <v/>
      </c>
      <c r="Q131" s="26" t="n"/>
      <c r="R131" s="28" t="str">
        <f>IF(Q131&lt;&gt;"",Q131,IF(P131="","",P131-N(N131)+N(O131)))</f>
        <v/>
      </c>
      <c r="S131" s="27" t="str">
        <f>IF(OR(L131="",J131="",I131="",AD131=""),"",ABS(J131-L131)*I131*AD131*AE131)</f>
        <v/>
      </c>
      <c r="T131" s="29" t="str">
        <f>IF(OR(R131="",S131="",S131=0),"",R131/S131)</f>
        <v/>
      </c>
      <c r="U131" s="20" t="str">
        <f>IF(R131="","",IF(R131&gt;0,"Ganadora",IF(R131&lt;0,"Perdedora","BE")))</f>
        <v/>
      </c>
      <c r="V131" s="23" t="n"/>
      <c r="W131" s="23" t="n"/>
      <c r="X131" s="23" t="n"/>
      <c r="Y131" s="23" t="n"/>
      <c r="Z131" s="23" t="n"/>
      <c r="AA131" s="23" t="n"/>
      <c r="AB131" s="30" t="n"/>
      <c r="AC131" s="1" t="n"/>
      <c r="AD131" s="1" t="str">
        <f>IF(G131="","",IFERROR(INDEX('Listas'!$N$6:$N$35,MATCH(G131,'Listas'!$M$6:$M$35,0)),""))</f>
        <v/>
      </c>
      <c r="AE131">
        <f>IF(G131="",1,IFERROR(INDEX('Listas'!$P$6:$P$35,MATCH(G131,'Listas'!$M$6:$M$35,0)),1))</f>
        <v>1</v>
      </c>
      <c r="AF131">
        <f>IF(H131="Compra",1,IF(H131="Venta",-1,0))</f>
        <v>0</v>
      </c>
      <c r="AG131">
        <f>IF(AND(D131&lt;&gt;"",ISNUMBER(R131)),1,0)</f>
        <v>0</v>
      </c>
      <c r="AH131">
        <f>IF(AG131=0,0,IF(OR('Panel'!$D$5="Todas las cuentas",'Panel'!$D$5="",F131='Panel'!$D$5),1,0))</f>
        <v>0</v>
      </c>
      <c r="AI131">
        <f>IF(AH131=0,0,IF(AND(OR('Panel'!$G$5="",D131&gt;='Panel'!$G$5),OR('Panel'!$J$5="",D131&lt;='Panel'!$J$5)),1,0))</f>
        <v>0</v>
      </c>
      <c r="AJ131">
        <f>IF(AI131=1,R131,0)</f>
        <v>0</v>
      </c>
      <c r="AK131" t="str">
        <f>IF(AI131=1,'Panel'!$AB$4+SUM($AJ$5:AJ131),"")</f>
        <v/>
      </c>
      <c r="AL131">
        <f>IF(AI131=0,N(AL130),IF(R131&lt;0,N(AL130)+1,0))</f>
        <v>1</v>
      </c>
      <c r="AM131">
        <f>IF(AI131=0,N(AM130),IF(R131&gt;0,N(AM130)+1,0))</f>
        <v>0</v>
      </c>
      <c r="AN131">
        <f>IF(AI131=1,MAX('Panel'!$AB$4,N(AN130),AK131),N(AN130))</f>
        <v>21371.061500000033</v>
      </c>
      <c r="AO131">
        <f>IF(AI131=1,AN131-AK131,0)</f>
        <v>0</v>
      </c>
      <c r="AP131">
        <f>IF(AND(AI131=1,AN131&gt;0),AO131/AN131,0)</f>
        <v>0</v>
      </c>
      <c r="AQ131" t="str">
        <f>IF(AI131=1,SUM($AI$5:AI131),"")</f>
        <v/>
      </c>
      <c r="AR131" t="str">
        <f>IF(AI131=1,IF(COUNTIFS($D$5:D131,D131,$AI$5:AI131,1)=1,SUMIFS($AJ$5:$AJ$504,$D$5:$D$504,D131),""),"")</f>
        <v/>
      </c>
      <c r="AS131" t="str">
        <f>IF(AG131=1,WEEKDAY(D131,2),"")</f>
        <v/>
      </c>
      <c r="AT131" s="31" t="str">
        <f>IF(AG131=1,DATE(YEAR(D131),MONTH(D131),1),"")</f>
        <v/>
      </c>
      <c r="AU131">
        <f>IF(AG131=0,0,IF(AND(OR('Prop challenge'!$D$7="",F131='Prop challenge'!$D$7),OR('Prop challenge'!$D$9="",D131&gt;='Prop challenge'!$D$9)),1,0))</f>
        <v>0</v>
      </c>
      <c r="AV131">
        <f>IF(AU131=1,IF(COUNTIFS($D$5:D131,D131,$AU$5:AU131,1)=1,1,0),0)</f>
        <v>0</v>
      </c>
      <c r="AW131" t="str">
        <f>IF(AV131=1,SUM($AV$5:AV131),"")</f>
        <v/>
      </c>
      <c r="AX131" t="str">
        <f>IF(AV131=1,SUMIFS($R$5:$R$504,$D$5:$D$504,D131,$AU$5:$AU$504,1),"")</f>
        <v/>
      </c>
    </row>
    <row r="132">
      <c r="A132" s="20" t="str">
        <f>IF(AG132=1,ROW()-4,"")</f>
        <v/>
      </c>
      <c r="B132" s="21" t="n"/>
      <c r="C132" s="22" t="n"/>
      <c r="D132" s="21" t="n"/>
      <c r="E132" s="22" t="n"/>
      <c r="F132" s="23" t="n"/>
      <c r="G132" s="23" t="n"/>
      <c r="H132" s="23" t="n"/>
      <c r="I132" s="24" t="n"/>
      <c r="J132" s="25" t="n"/>
      <c r="K132" s="25" t="n"/>
      <c r="L132" s="25" t="n"/>
      <c r="M132" s="25" t="n"/>
      <c r="N132" s="26" t="n"/>
      <c r="O132" s="26" t="n"/>
      <c r="P132" s="27" t="str">
        <f>IF(OR(J132="",K132="",I132="",AF132=0,AD132=""),"",(K132-J132)*AF132*I132*AD132*AE132)</f>
        <v/>
      </c>
      <c r="Q132" s="26" t="n"/>
      <c r="R132" s="28" t="str">
        <f>IF(Q132&lt;&gt;"",Q132,IF(P132="","",P132-N(N132)+N(O132)))</f>
        <v/>
      </c>
      <c r="S132" s="27" t="str">
        <f>IF(OR(L132="",J132="",I132="",AD132=""),"",ABS(J132-L132)*I132*AD132*AE132)</f>
        <v/>
      </c>
      <c r="T132" s="29" t="str">
        <f>IF(OR(R132="",S132="",S132=0),"",R132/S132)</f>
        <v/>
      </c>
      <c r="U132" s="20" t="str">
        <f>IF(R132="","",IF(R132&gt;0,"Ganadora",IF(R132&lt;0,"Perdedora","BE")))</f>
        <v/>
      </c>
      <c r="V132" s="23" t="n"/>
      <c r="W132" s="23" t="n"/>
      <c r="X132" s="23" t="n"/>
      <c r="Y132" s="23" t="n"/>
      <c r="Z132" s="23" t="n"/>
      <c r="AA132" s="23" t="n"/>
      <c r="AB132" s="30" t="n"/>
      <c r="AC132" s="1" t="n"/>
      <c r="AD132" s="1" t="str">
        <f>IF(G132="","",IFERROR(INDEX('Listas'!$N$6:$N$35,MATCH(G132,'Listas'!$M$6:$M$35,0)),""))</f>
        <v/>
      </c>
      <c r="AE132">
        <f>IF(G132="",1,IFERROR(INDEX('Listas'!$P$6:$P$35,MATCH(G132,'Listas'!$M$6:$M$35,0)),1))</f>
        <v>1</v>
      </c>
      <c r="AF132">
        <f>IF(H132="Compra",1,IF(H132="Venta",-1,0))</f>
        <v>0</v>
      </c>
      <c r="AG132">
        <f>IF(AND(D132&lt;&gt;"",ISNUMBER(R132)),1,0)</f>
        <v>0</v>
      </c>
      <c r="AH132">
        <f>IF(AG132=0,0,IF(OR('Panel'!$D$5="Todas las cuentas",'Panel'!$D$5="",F132='Panel'!$D$5),1,0))</f>
        <v>0</v>
      </c>
      <c r="AI132">
        <f>IF(AH132=0,0,IF(AND(OR('Panel'!$G$5="",D132&gt;='Panel'!$G$5),OR('Panel'!$J$5="",D132&lt;='Panel'!$J$5)),1,0))</f>
        <v>0</v>
      </c>
      <c r="AJ132">
        <f>IF(AI132=1,R132,0)</f>
        <v>0</v>
      </c>
      <c r="AK132" t="str">
        <f>IF(AI132=1,'Panel'!$AB$4+SUM($AJ$5:AJ132),"")</f>
        <v/>
      </c>
      <c r="AL132">
        <f>IF(AI132=0,N(AL131),IF(R132&lt;0,N(AL131)+1,0))</f>
        <v>1</v>
      </c>
      <c r="AM132">
        <f>IF(AI132=0,N(AM131),IF(R132&gt;0,N(AM131)+1,0))</f>
        <v>0</v>
      </c>
      <c r="AN132">
        <f>IF(AI132=1,MAX('Panel'!$AB$4,N(AN131),AK132),N(AN131))</f>
        <v>21371.061500000033</v>
      </c>
      <c r="AO132">
        <f>IF(AI132=1,AN132-AK132,0)</f>
        <v>0</v>
      </c>
      <c r="AP132">
        <f>IF(AND(AI132=1,AN132&gt;0),AO132/AN132,0)</f>
        <v>0</v>
      </c>
      <c r="AQ132" t="str">
        <f>IF(AI132=1,SUM($AI$5:AI132),"")</f>
        <v/>
      </c>
      <c r="AR132" t="str">
        <f>IF(AI132=1,IF(COUNTIFS($D$5:D132,D132,$AI$5:AI132,1)=1,SUMIFS($AJ$5:$AJ$504,$D$5:$D$504,D132),""),"")</f>
        <v/>
      </c>
      <c r="AS132" t="str">
        <f>IF(AG132=1,WEEKDAY(D132,2),"")</f>
        <v/>
      </c>
      <c r="AT132" s="31" t="str">
        <f>IF(AG132=1,DATE(YEAR(D132),MONTH(D132),1),"")</f>
        <v/>
      </c>
      <c r="AU132">
        <f>IF(AG132=0,0,IF(AND(OR('Prop challenge'!$D$7="",F132='Prop challenge'!$D$7),OR('Prop challenge'!$D$9="",D132&gt;='Prop challenge'!$D$9)),1,0))</f>
        <v>0</v>
      </c>
      <c r="AV132">
        <f>IF(AU132=1,IF(COUNTIFS($D$5:D132,D132,$AU$5:AU132,1)=1,1,0),0)</f>
        <v>0</v>
      </c>
      <c r="AW132" t="str">
        <f>IF(AV132=1,SUM($AV$5:AV132),"")</f>
        <v/>
      </c>
      <c r="AX132" t="str">
        <f>IF(AV132=1,SUMIFS($R$5:$R$504,$D$5:$D$504,D132,$AU$5:$AU$504,1),"")</f>
        <v/>
      </c>
    </row>
    <row r="133">
      <c r="A133" s="20" t="str">
        <f>IF(AG133=1,ROW()-4,"")</f>
        <v/>
      </c>
      <c r="B133" s="21" t="n"/>
      <c r="C133" s="22" t="n"/>
      <c r="D133" s="21" t="n"/>
      <c r="E133" s="22" t="n"/>
      <c r="F133" s="23" t="n"/>
      <c r="G133" s="23" t="n"/>
      <c r="H133" s="23" t="n"/>
      <c r="I133" s="24" t="n"/>
      <c r="J133" s="25" t="n"/>
      <c r="K133" s="25" t="n"/>
      <c r="L133" s="25" t="n"/>
      <c r="M133" s="25" t="n"/>
      <c r="N133" s="26" t="n"/>
      <c r="O133" s="26" t="n"/>
      <c r="P133" s="27" t="str">
        <f>IF(OR(J133="",K133="",I133="",AF133=0,AD133=""),"",(K133-J133)*AF133*I133*AD133*AE133)</f>
        <v/>
      </c>
      <c r="Q133" s="26" t="n"/>
      <c r="R133" s="28" t="str">
        <f>IF(Q133&lt;&gt;"",Q133,IF(P133="","",P133-N(N133)+N(O133)))</f>
        <v/>
      </c>
      <c r="S133" s="27" t="str">
        <f>IF(OR(L133="",J133="",I133="",AD133=""),"",ABS(J133-L133)*I133*AD133*AE133)</f>
        <v/>
      </c>
      <c r="T133" s="29" t="str">
        <f>IF(OR(R133="",S133="",S133=0),"",R133/S133)</f>
        <v/>
      </c>
      <c r="U133" s="20" t="str">
        <f>IF(R133="","",IF(R133&gt;0,"Ganadora",IF(R133&lt;0,"Perdedora","BE")))</f>
        <v/>
      </c>
      <c r="V133" s="23" t="n"/>
      <c r="W133" s="23" t="n"/>
      <c r="X133" s="23" t="n"/>
      <c r="Y133" s="23" t="n"/>
      <c r="Z133" s="23" t="n"/>
      <c r="AA133" s="23" t="n"/>
      <c r="AB133" s="30" t="n"/>
      <c r="AC133" s="1" t="n"/>
      <c r="AD133" s="1" t="str">
        <f>IF(G133="","",IFERROR(INDEX('Listas'!$N$6:$N$35,MATCH(G133,'Listas'!$M$6:$M$35,0)),""))</f>
        <v/>
      </c>
      <c r="AE133">
        <f>IF(G133="",1,IFERROR(INDEX('Listas'!$P$6:$P$35,MATCH(G133,'Listas'!$M$6:$M$35,0)),1))</f>
        <v>1</v>
      </c>
      <c r="AF133">
        <f>IF(H133="Compra",1,IF(H133="Venta",-1,0))</f>
        <v>0</v>
      </c>
      <c r="AG133">
        <f>IF(AND(D133&lt;&gt;"",ISNUMBER(R133)),1,0)</f>
        <v>0</v>
      </c>
      <c r="AH133">
        <f>IF(AG133=0,0,IF(OR('Panel'!$D$5="Todas las cuentas",'Panel'!$D$5="",F133='Panel'!$D$5),1,0))</f>
        <v>0</v>
      </c>
      <c r="AI133">
        <f>IF(AH133=0,0,IF(AND(OR('Panel'!$G$5="",D133&gt;='Panel'!$G$5),OR('Panel'!$J$5="",D133&lt;='Panel'!$J$5)),1,0))</f>
        <v>0</v>
      </c>
      <c r="AJ133">
        <f>IF(AI133=1,R133,0)</f>
        <v>0</v>
      </c>
      <c r="AK133" t="str">
        <f>IF(AI133=1,'Panel'!$AB$4+SUM($AJ$5:AJ133),"")</f>
        <v/>
      </c>
      <c r="AL133">
        <f>IF(AI133=0,N(AL132),IF(R133&lt;0,N(AL132)+1,0))</f>
        <v>1</v>
      </c>
      <c r="AM133">
        <f>IF(AI133=0,N(AM132),IF(R133&gt;0,N(AM132)+1,0))</f>
        <v>0</v>
      </c>
      <c r="AN133">
        <f>IF(AI133=1,MAX('Panel'!$AB$4,N(AN132),AK133),N(AN132))</f>
        <v>21371.061500000033</v>
      </c>
      <c r="AO133">
        <f>IF(AI133=1,AN133-AK133,0)</f>
        <v>0</v>
      </c>
      <c r="AP133">
        <f>IF(AND(AI133=1,AN133&gt;0),AO133/AN133,0)</f>
        <v>0</v>
      </c>
      <c r="AQ133" t="str">
        <f>IF(AI133=1,SUM($AI$5:AI133),"")</f>
        <v/>
      </c>
      <c r="AR133" t="str">
        <f>IF(AI133=1,IF(COUNTIFS($D$5:D133,D133,$AI$5:AI133,1)=1,SUMIFS($AJ$5:$AJ$504,$D$5:$D$504,D133),""),"")</f>
        <v/>
      </c>
      <c r="AS133" t="str">
        <f>IF(AG133=1,WEEKDAY(D133,2),"")</f>
        <v/>
      </c>
      <c r="AT133" s="31" t="str">
        <f>IF(AG133=1,DATE(YEAR(D133),MONTH(D133),1),"")</f>
        <v/>
      </c>
      <c r="AU133">
        <f>IF(AG133=0,0,IF(AND(OR('Prop challenge'!$D$7="",F133='Prop challenge'!$D$7),OR('Prop challenge'!$D$9="",D133&gt;='Prop challenge'!$D$9)),1,0))</f>
        <v>0</v>
      </c>
      <c r="AV133">
        <f>IF(AU133=1,IF(COUNTIFS($D$5:D133,D133,$AU$5:AU133,1)=1,1,0),0)</f>
        <v>0</v>
      </c>
      <c r="AW133" t="str">
        <f>IF(AV133=1,SUM($AV$5:AV133),"")</f>
        <v/>
      </c>
      <c r="AX133" t="str">
        <f>IF(AV133=1,SUMIFS($R$5:$R$504,$D$5:$D$504,D133,$AU$5:$AU$504,1),"")</f>
        <v/>
      </c>
    </row>
    <row r="134">
      <c r="A134" s="20" t="str">
        <f>IF(AG134=1,ROW()-4,"")</f>
        <v/>
      </c>
      <c r="B134" s="21" t="n"/>
      <c r="C134" s="22" t="n"/>
      <c r="D134" s="21" t="n"/>
      <c r="E134" s="22" t="n"/>
      <c r="F134" s="23" t="n"/>
      <c r="G134" s="23" t="n"/>
      <c r="H134" s="23" t="n"/>
      <c r="I134" s="24" t="n"/>
      <c r="J134" s="25" t="n"/>
      <c r="K134" s="25" t="n"/>
      <c r="L134" s="25" t="n"/>
      <c r="M134" s="25" t="n"/>
      <c r="N134" s="26" t="n"/>
      <c r="O134" s="26" t="n"/>
      <c r="P134" s="27" t="str">
        <f>IF(OR(J134="",K134="",I134="",AF134=0,AD134=""),"",(K134-J134)*AF134*I134*AD134*AE134)</f>
        <v/>
      </c>
      <c r="Q134" s="26" t="n"/>
      <c r="R134" s="28" t="str">
        <f>IF(Q134&lt;&gt;"",Q134,IF(P134="","",P134-N(N134)+N(O134)))</f>
        <v/>
      </c>
      <c r="S134" s="27" t="str">
        <f>IF(OR(L134="",J134="",I134="",AD134=""),"",ABS(J134-L134)*I134*AD134*AE134)</f>
        <v/>
      </c>
      <c r="T134" s="29" t="str">
        <f>IF(OR(R134="",S134="",S134=0),"",R134/S134)</f>
        <v/>
      </c>
      <c r="U134" s="20" t="str">
        <f>IF(R134="","",IF(R134&gt;0,"Ganadora",IF(R134&lt;0,"Perdedora","BE")))</f>
        <v/>
      </c>
      <c r="V134" s="23" t="n"/>
      <c r="W134" s="23" t="n"/>
      <c r="X134" s="23" t="n"/>
      <c r="Y134" s="23" t="n"/>
      <c r="Z134" s="23" t="n"/>
      <c r="AA134" s="23" t="n"/>
      <c r="AB134" s="30" t="n"/>
      <c r="AC134" s="1" t="n"/>
      <c r="AD134" s="1" t="str">
        <f>IF(G134="","",IFERROR(INDEX('Listas'!$N$6:$N$35,MATCH(G134,'Listas'!$M$6:$M$35,0)),""))</f>
        <v/>
      </c>
      <c r="AE134">
        <f>IF(G134="",1,IFERROR(INDEX('Listas'!$P$6:$P$35,MATCH(G134,'Listas'!$M$6:$M$35,0)),1))</f>
        <v>1</v>
      </c>
      <c r="AF134">
        <f>IF(H134="Compra",1,IF(H134="Venta",-1,0))</f>
        <v>0</v>
      </c>
      <c r="AG134">
        <f>IF(AND(D134&lt;&gt;"",ISNUMBER(R134)),1,0)</f>
        <v>0</v>
      </c>
      <c r="AH134">
        <f>IF(AG134=0,0,IF(OR('Panel'!$D$5="Todas las cuentas",'Panel'!$D$5="",F134='Panel'!$D$5),1,0))</f>
        <v>0</v>
      </c>
      <c r="AI134">
        <f>IF(AH134=0,0,IF(AND(OR('Panel'!$G$5="",D134&gt;='Panel'!$G$5),OR('Panel'!$J$5="",D134&lt;='Panel'!$J$5)),1,0))</f>
        <v>0</v>
      </c>
      <c r="AJ134">
        <f>IF(AI134=1,R134,0)</f>
        <v>0</v>
      </c>
      <c r="AK134" t="str">
        <f>IF(AI134=1,'Panel'!$AB$4+SUM($AJ$5:AJ134),"")</f>
        <v/>
      </c>
      <c r="AL134">
        <f>IF(AI134=0,N(AL133),IF(R134&lt;0,N(AL133)+1,0))</f>
        <v>1</v>
      </c>
      <c r="AM134">
        <f>IF(AI134=0,N(AM133),IF(R134&gt;0,N(AM133)+1,0))</f>
        <v>0</v>
      </c>
      <c r="AN134">
        <f>IF(AI134=1,MAX('Panel'!$AB$4,N(AN133),AK134),N(AN133))</f>
        <v>21371.061500000033</v>
      </c>
      <c r="AO134">
        <f>IF(AI134=1,AN134-AK134,0)</f>
        <v>0</v>
      </c>
      <c r="AP134">
        <f>IF(AND(AI134=1,AN134&gt;0),AO134/AN134,0)</f>
        <v>0</v>
      </c>
      <c r="AQ134" t="str">
        <f>IF(AI134=1,SUM($AI$5:AI134),"")</f>
        <v/>
      </c>
      <c r="AR134" t="str">
        <f>IF(AI134=1,IF(COUNTIFS($D$5:D134,D134,$AI$5:AI134,1)=1,SUMIFS($AJ$5:$AJ$504,$D$5:$D$504,D134),""),"")</f>
        <v/>
      </c>
      <c r="AS134" t="str">
        <f>IF(AG134=1,WEEKDAY(D134,2),"")</f>
        <v/>
      </c>
      <c r="AT134" s="31" t="str">
        <f>IF(AG134=1,DATE(YEAR(D134),MONTH(D134),1),"")</f>
        <v/>
      </c>
      <c r="AU134">
        <f>IF(AG134=0,0,IF(AND(OR('Prop challenge'!$D$7="",F134='Prop challenge'!$D$7),OR('Prop challenge'!$D$9="",D134&gt;='Prop challenge'!$D$9)),1,0))</f>
        <v>0</v>
      </c>
      <c r="AV134">
        <f>IF(AU134=1,IF(COUNTIFS($D$5:D134,D134,$AU$5:AU134,1)=1,1,0),0)</f>
        <v>0</v>
      </c>
      <c r="AW134" t="str">
        <f>IF(AV134=1,SUM($AV$5:AV134),"")</f>
        <v/>
      </c>
      <c r="AX134" t="str">
        <f>IF(AV134=1,SUMIFS($R$5:$R$504,$D$5:$D$504,D134,$AU$5:$AU$504,1),"")</f>
        <v/>
      </c>
    </row>
    <row r="135">
      <c r="A135" s="20" t="str">
        <f>IF(AG135=1,ROW()-4,"")</f>
        <v/>
      </c>
      <c r="B135" s="21" t="n"/>
      <c r="C135" s="22" t="n"/>
      <c r="D135" s="21" t="n"/>
      <c r="E135" s="22" t="n"/>
      <c r="F135" s="23" t="n"/>
      <c r="G135" s="23" t="n"/>
      <c r="H135" s="23" t="n"/>
      <c r="I135" s="24" t="n"/>
      <c r="J135" s="25" t="n"/>
      <c r="K135" s="25" t="n"/>
      <c r="L135" s="25" t="n"/>
      <c r="M135" s="25" t="n"/>
      <c r="N135" s="26" t="n"/>
      <c r="O135" s="26" t="n"/>
      <c r="P135" s="27" t="str">
        <f>IF(OR(J135="",K135="",I135="",AF135=0,AD135=""),"",(K135-J135)*AF135*I135*AD135*AE135)</f>
        <v/>
      </c>
      <c r="Q135" s="26" t="n"/>
      <c r="R135" s="28" t="str">
        <f>IF(Q135&lt;&gt;"",Q135,IF(P135="","",P135-N(N135)+N(O135)))</f>
        <v/>
      </c>
      <c r="S135" s="27" t="str">
        <f>IF(OR(L135="",J135="",I135="",AD135=""),"",ABS(J135-L135)*I135*AD135*AE135)</f>
        <v/>
      </c>
      <c r="T135" s="29" t="str">
        <f>IF(OR(R135="",S135="",S135=0),"",R135/S135)</f>
        <v/>
      </c>
      <c r="U135" s="20" t="str">
        <f>IF(R135="","",IF(R135&gt;0,"Ganadora",IF(R135&lt;0,"Perdedora","BE")))</f>
        <v/>
      </c>
      <c r="V135" s="23" t="n"/>
      <c r="W135" s="23" t="n"/>
      <c r="X135" s="23" t="n"/>
      <c r="Y135" s="23" t="n"/>
      <c r="Z135" s="23" t="n"/>
      <c r="AA135" s="23" t="n"/>
      <c r="AB135" s="30" t="n"/>
      <c r="AC135" s="1" t="n"/>
      <c r="AD135" s="1" t="str">
        <f>IF(G135="","",IFERROR(INDEX('Listas'!$N$6:$N$35,MATCH(G135,'Listas'!$M$6:$M$35,0)),""))</f>
        <v/>
      </c>
      <c r="AE135">
        <f>IF(G135="",1,IFERROR(INDEX('Listas'!$P$6:$P$35,MATCH(G135,'Listas'!$M$6:$M$35,0)),1))</f>
        <v>1</v>
      </c>
      <c r="AF135">
        <f>IF(H135="Compra",1,IF(H135="Venta",-1,0))</f>
        <v>0</v>
      </c>
      <c r="AG135">
        <f>IF(AND(D135&lt;&gt;"",ISNUMBER(R135)),1,0)</f>
        <v>0</v>
      </c>
      <c r="AH135">
        <f>IF(AG135=0,0,IF(OR('Panel'!$D$5="Todas las cuentas",'Panel'!$D$5="",F135='Panel'!$D$5),1,0))</f>
        <v>0</v>
      </c>
      <c r="AI135">
        <f>IF(AH135=0,0,IF(AND(OR('Panel'!$G$5="",D135&gt;='Panel'!$G$5),OR('Panel'!$J$5="",D135&lt;='Panel'!$J$5)),1,0))</f>
        <v>0</v>
      </c>
      <c r="AJ135">
        <f>IF(AI135=1,R135,0)</f>
        <v>0</v>
      </c>
      <c r="AK135" t="str">
        <f>IF(AI135=1,'Panel'!$AB$4+SUM($AJ$5:AJ135),"")</f>
        <v/>
      </c>
      <c r="AL135">
        <f>IF(AI135=0,N(AL134),IF(R135&lt;0,N(AL134)+1,0))</f>
        <v>1</v>
      </c>
      <c r="AM135">
        <f>IF(AI135=0,N(AM134),IF(R135&gt;0,N(AM134)+1,0))</f>
        <v>0</v>
      </c>
      <c r="AN135">
        <f>IF(AI135=1,MAX('Panel'!$AB$4,N(AN134),AK135),N(AN134))</f>
        <v>21371.061500000033</v>
      </c>
      <c r="AO135">
        <f>IF(AI135=1,AN135-AK135,0)</f>
        <v>0</v>
      </c>
      <c r="AP135">
        <f>IF(AND(AI135=1,AN135&gt;0),AO135/AN135,0)</f>
        <v>0</v>
      </c>
      <c r="AQ135" t="str">
        <f>IF(AI135=1,SUM($AI$5:AI135),"")</f>
        <v/>
      </c>
      <c r="AR135" t="str">
        <f>IF(AI135=1,IF(COUNTIFS($D$5:D135,D135,$AI$5:AI135,1)=1,SUMIFS($AJ$5:$AJ$504,$D$5:$D$504,D135),""),"")</f>
        <v/>
      </c>
      <c r="AS135" t="str">
        <f>IF(AG135=1,WEEKDAY(D135,2),"")</f>
        <v/>
      </c>
      <c r="AT135" s="31" t="str">
        <f>IF(AG135=1,DATE(YEAR(D135),MONTH(D135),1),"")</f>
        <v/>
      </c>
      <c r="AU135">
        <f>IF(AG135=0,0,IF(AND(OR('Prop challenge'!$D$7="",F135='Prop challenge'!$D$7),OR('Prop challenge'!$D$9="",D135&gt;='Prop challenge'!$D$9)),1,0))</f>
        <v>0</v>
      </c>
      <c r="AV135">
        <f>IF(AU135=1,IF(COUNTIFS($D$5:D135,D135,$AU$5:AU135,1)=1,1,0),0)</f>
        <v>0</v>
      </c>
      <c r="AW135" t="str">
        <f>IF(AV135=1,SUM($AV$5:AV135),"")</f>
        <v/>
      </c>
      <c r="AX135" t="str">
        <f>IF(AV135=1,SUMIFS($R$5:$R$504,$D$5:$D$504,D135,$AU$5:$AU$504,1),"")</f>
        <v/>
      </c>
    </row>
    <row r="136">
      <c r="A136" s="20" t="str">
        <f>IF(AG136=1,ROW()-4,"")</f>
        <v/>
      </c>
      <c r="B136" s="21" t="n"/>
      <c r="C136" s="22" t="n"/>
      <c r="D136" s="21" t="n"/>
      <c r="E136" s="22" t="n"/>
      <c r="F136" s="23" t="n"/>
      <c r="G136" s="23" t="n"/>
      <c r="H136" s="23" t="n"/>
      <c r="I136" s="24" t="n"/>
      <c r="J136" s="25" t="n"/>
      <c r="K136" s="25" t="n"/>
      <c r="L136" s="25" t="n"/>
      <c r="M136" s="25" t="n"/>
      <c r="N136" s="26" t="n"/>
      <c r="O136" s="26" t="n"/>
      <c r="P136" s="27" t="str">
        <f>IF(OR(J136="",K136="",I136="",AF136=0,AD136=""),"",(K136-J136)*AF136*I136*AD136*AE136)</f>
        <v/>
      </c>
      <c r="Q136" s="26" t="n"/>
      <c r="R136" s="28" t="str">
        <f>IF(Q136&lt;&gt;"",Q136,IF(P136="","",P136-N(N136)+N(O136)))</f>
        <v/>
      </c>
      <c r="S136" s="27" t="str">
        <f>IF(OR(L136="",J136="",I136="",AD136=""),"",ABS(J136-L136)*I136*AD136*AE136)</f>
        <v/>
      </c>
      <c r="T136" s="29" t="str">
        <f>IF(OR(R136="",S136="",S136=0),"",R136/S136)</f>
        <v/>
      </c>
      <c r="U136" s="20" t="str">
        <f>IF(R136="","",IF(R136&gt;0,"Ganadora",IF(R136&lt;0,"Perdedora","BE")))</f>
        <v/>
      </c>
      <c r="V136" s="23" t="n"/>
      <c r="W136" s="23" t="n"/>
      <c r="X136" s="23" t="n"/>
      <c r="Y136" s="23" t="n"/>
      <c r="Z136" s="23" t="n"/>
      <c r="AA136" s="23" t="n"/>
      <c r="AB136" s="30" t="n"/>
      <c r="AC136" s="1" t="n"/>
      <c r="AD136" s="1" t="str">
        <f>IF(G136="","",IFERROR(INDEX('Listas'!$N$6:$N$35,MATCH(G136,'Listas'!$M$6:$M$35,0)),""))</f>
        <v/>
      </c>
      <c r="AE136">
        <f>IF(G136="",1,IFERROR(INDEX('Listas'!$P$6:$P$35,MATCH(G136,'Listas'!$M$6:$M$35,0)),1))</f>
        <v>1</v>
      </c>
      <c r="AF136">
        <f>IF(H136="Compra",1,IF(H136="Venta",-1,0))</f>
        <v>0</v>
      </c>
      <c r="AG136">
        <f>IF(AND(D136&lt;&gt;"",ISNUMBER(R136)),1,0)</f>
        <v>0</v>
      </c>
      <c r="AH136">
        <f>IF(AG136=0,0,IF(OR('Panel'!$D$5="Todas las cuentas",'Panel'!$D$5="",F136='Panel'!$D$5),1,0))</f>
        <v>0</v>
      </c>
      <c r="AI136">
        <f>IF(AH136=0,0,IF(AND(OR('Panel'!$G$5="",D136&gt;='Panel'!$G$5),OR('Panel'!$J$5="",D136&lt;='Panel'!$J$5)),1,0))</f>
        <v>0</v>
      </c>
      <c r="AJ136">
        <f>IF(AI136=1,R136,0)</f>
        <v>0</v>
      </c>
      <c r="AK136" t="str">
        <f>IF(AI136=1,'Panel'!$AB$4+SUM($AJ$5:AJ136),"")</f>
        <v/>
      </c>
      <c r="AL136">
        <f>IF(AI136=0,N(AL135),IF(R136&lt;0,N(AL135)+1,0))</f>
        <v>1</v>
      </c>
      <c r="AM136">
        <f>IF(AI136=0,N(AM135),IF(R136&gt;0,N(AM135)+1,0))</f>
        <v>0</v>
      </c>
      <c r="AN136">
        <f>IF(AI136=1,MAX('Panel'!$AB$4,N(AN135),AK136),N(AN135))</f>
        <v>21371.061500000033</v>
      </c>
      <c r="AO136">
        <f>IF(AI136=1,AN136-AK136,0)</f>
        <v>0</v>
      </c>
      <c r="AP136">
        <f>IF(AND(AI136=1,AN136&gt;0),AO136/AN136,0)</f>
        <v>0</v>
      </c>
      <c r="AQ136" t="str">
        <f>IF(AI136=1,SUM($AI$5:AI136),"")</f>
        <v/>
      </c>
      <c r="AR136" t="str">
        <f>IF(AI136=1,IF(COUNTIFS($D$5:D136,D136,$AI$5:AI136,1)=1,SUMIFS($AJ$5:$AJ$504,$D$5:$D$504,D136),""),"")</f>
        <v/>
      </c>
      <c r="AS136" t="str">
        <f>IF(AG136=1,WEEKDAY(D136,2),"")</f>
        <v/>
      </c>
      <c r="AT136" s="31" t="str">
        <f>IF(AG136=1,DATE(YEAR(D136),MONTH(D136),1),"")</f>
        <v/>
      </c>
      <c r="AU136">
        <f>IF(AG136=0,0,IF(AND(OR('Prop challenge'!$D$7="",F136='Prop challenge'!$D$7),OR('Prop challenge'!$D$9="",D136&gt;='Prop challenge'!$D$9)),1,0))</f>
        <v>0</v>
      </c>
      <c r="AV136">
        <f>IF(AU136=1,IF(COUNTIFS($D$5:D136,D136,$AU$5:AU136,1)=1,1,0),0)</f>
        <v>0</v>
      </c>
      <c r="AW136" t="str">
        <f>IF(AV136=1,SUM($AV$5:AV136),"")</f>
        <v/>
      </c>
      <c r="AX136" t="str">
        <f>IF(AV136=1,SUMIFS($R$5:$R$504,$D$5:$D$504,D136,$AU$5:$AU$504,1),"")</f>
        <v/>
      </c>
    </row>
    <row r="137">
      <c r="A137" s="20" t="str">
        <f>IF(AG137=1,ROW()-4,"")</f>
        <v/>
      </c>
      <c r="B137" s="21" t="n"/>
      <c r="C137" s="22" t="n"/>
      <c r="D137" s="21" t="n"/>
      <c r="E137" s="22" t="n"/>
      <c r="F137" s="23" t="n"/>
      <c r="G137" s="23" t="n"/>
      <c r="H137" s="23" t="n"/>
      <c r="I137" s="24" t="n"/>
      <c r="J137" s="25" t="n"/>
      <c r="K137" s="25" t="n"/>
      <c r="L137" s="25" t="n"/>
      <c r="M137" s="25" t="n"/>
      <c r="N137" s="26" t="n"/>
      <c r="O137" s="26" t="n"/>
      <c r="P137" s="27" t="str">
        <f>IF(OR(J137="",K137="",I137="",AF137=0,AD137=""),"",(K137-J137)*AF137*I137*AD137*AE137)</f>
        <v/>
      </c>
      <c r="Q137" s="26" t="n"/>
      <c r="R137" s="28" t="str">
        <f>IF(Q137&lt;&gt;"",Q137,IF(P137="","",P137-N(N137)+N(O137)))</f>
        <v/>
      </c>
      <c r="S137" s="27" t="str">
        <f>IF(OR(L137="",J137="",I137="",AD137=""),"",ABS(J137-L137)*I137*AD137*AE137)</f>
        <v/>
      </c>
      <c r="T137" s="29" t="str">
        <f>IF(OR(R137="",S137="",S137=0),"",R137/S137)</f>
        <v/>
      </c>
      <c r="U137" s="20" t="str">
        <f>IF(R137="","",IF(R137&gt;0,"Ganadora",IF(R137&lt;0,"Perdedora","BE")))</f>
        <v/>
      </c>
      <c r="V137" s="23" t="n"/>
      <c r="W137" s="23" t="n"/>
      <c r="X137" s="23" t="n"/>
      <c r="Y137" s="23" t="n"/>
      <c r="Z137" s="23" t="n"/>
      <c r="AA137" s="23" t="n"/>
      <c r="AB137" s="30" t="n"/>
      <c r="AC137" s="1" t="n"/>
      <c r="AD137" s="1" t="str">
        <f>IF(G137="","",IFERROR(INDEX('Listas'!$N$6:$N$35,MATCH(G137,'Listas'!$M$6:$M$35,0)),""))</f>
        <v/>
      </c>
      <c r="AE137">
        <f>IF(G137="",1,IFERROR(INDEX('Listas'!$P$6:$P$35,MATCH(G137,'Listas'!$M$6:$M$35,0)),1))</f>
        <v>1</v>
      </c>
      <c r="AF137">
        <f>IF(H137="Compra",1,IF(H137="Venta",-1,0))</f>
        <v>0</v>
      </c>
      <c r="AG137">
        <f>IF(AND(D137&lt;&gt;"",ISNUMBER(R137)),1,0)</f>
        <v>0</v>
      </c>
      <c r="AH137">
        <f>IF(AG137=0,0,IF(OR('Panel'!$D$5="Todas las cuentas",'Panel'!$D$5="",F137='Panel'!$D$5),1,0))</f>
        <v>0</v>
      </c>
      <c r="AI137">
        <f>IF(AH137=0,0,IF(AND(OR('Panel'!$G$5="",D137&gt;='Panel'!$G$5),OR('Panel'!$J$5="",D137&lt;='Panel'!$J$5)),1,0))</f>
        <v>0</v>
      </c>
      <c r="AJ137">
        <f>IF(AI137=1,R137,0)</f>
        <v>0</v>
      </c>
      <c r="AK137" t="str">
        <f>IF(AI137=1,'Panel'!$AB$4+SUM($AJ$5:AJ137),"")</f>
        <v/>
      </c>
      <c r="AL137">
        <f>IF(AI137=0,N(AL136),IF(R137&lt;0,N(AL136)+1,0))</f>
        <v>1</v>
      </c>
      <c r="AM137">
        <f>IF(AI137=0,N(AM136),IF(R137&gt;0,N(AM136)+1,0))</f>
        <v>0</v>
      </c>
      <c r="AN137">
        <f>IF(AI137=1,MAX('Panel'!$AB$4,N(AN136),AK137),N(AN136))</f>
        <v>21371.061500000033</v>
      </c>
      <c r="AO137">
        <f>IF(AI137=1,AN137-AK137,0)</f>
        <v>0</v>
      </c>
      <c r="AP137">
        <f>IF(AND(AI137=1,AN137&gt;0),AO137/AN137,0)</f>
        <v>0</v>
      </c>
      <c r="AQ137" t="str">
        <f>IF(AI137=1,SUM($AI$5:AI137),"")</f>
        <v/>
      </c>
      <c r="AR137" t="str">
        <f>IF(AI137=1,IF(COUNTIFS($D$5:D137,D137,$AI$5:AI137,1)=1,SUMIFS($AJ$5:$AJ$504,$D$5:$D$504,D137),""),"")</f>
        <v/>
      </c>
      <c r="AS137" t="str">
        <f>IF(AG137=1,WEEKDAY(D137,2),"")</f>
        <v/>
      </c>
      <c r="AT137" s="31" t="str">
        <f>IF(AG137=1,DATE(YEAR(D137),MONTH(D137),1),"")</f>
        <v/>
      </c>
      <c r="AU137">
        <f>IF(AG137=0,0,IF(AND(OR('Prop challenge'!$D$7="",F137='Prop challenge'!$D$7),OR('Prop challenge'!$D$9="",D137&gt;='Prop challenge'!$D$9)),1,0))</f>
        <v>0</v>
      </c>
      <c r="AV137">
        <f>IF(AU137=1,IF(COUNTIFS($D$5:D137,D137,$AU$5:AU137,1)=1,1,0),0)</f>
        <v>0</v>
      </c>
      <c r="AW137" t="str">
        <f>IF(AV137=1,SUM($AV$5:AV137),"")</f>
        <v/>
      </c>
      <c r="AX137" t="str">
        <f>IF(AV137=1,SUMIFS($R$5:$R$504,$D$5:$D$504,D137,$AU$5:$AU$504,1),"")</f>
        <v/>
      </c>
    </row>
    <row r="138">
      <c r="A138" s="20" t="str">
        <f>IF(AG138=1,ROW()-4,"")</f>
        <v/>
      </c>
      <c r="B138" s="21" t="n"/>
      <c r="C138" s="22" t="n"/>
      <c r="D138" s="21" t="n"/>
      <c r="E138" s="22" t="n"/>
      <c r="F138" s="23" t="n"/>
      <c r="G138" s="23" t="n"/>
      <c r="H138" s="23" t="n"/>
      <c r="I138" s="24" t="n"/>
      <c r="J138" s="25" t="n"/>
      <c r="K138" s="25" t="n"/>
      <c r="L138" s="25" t="n"/>
      <c r="M138" s="25" t="n"/>
      <c r="N138" s="26" t="n"/>
      <c r="O138" s="26" t="n"/>
      <c r="P138" s="27" t="str">
        <f>IF(OR(J138="",K138="",I138="",AF138=0,AD138=""),"",(K138-J138)*AF138*I138*AD138*AE138)</f>
        <v/>
      </c>
      <c r="Q138" s="26" t="n"/>
      <c r="R138" s="28" t="str">
        <f>IF(Q138&lt;&gt;"",Q138,IF(P138="","",P138-N(N138)+N(O138)))</f>
        <v/>
      </c>
      <c r="S138" s="27" t="str">
        <f>IF(OR(L138="",J138="",I138="",AD138=""),"",ABS(J138-L138)*I138*AD138*AE138)</f>
        <v/>
      </c>
      <c r="T138" s="29" t="str">
        <f>IF(OR(R138="",S138="",S138=0),"",R138/S138)</f>
        <v/>
      </c>
      <c r="U138" s="20" t="str">
        <f>IF(R138="","",IF(R138&gt;0,"Ganadora",IF(R138&lt;0,"Perdedora","BE")))</f>
        <v/>
      </c>
      <c r="V138" s="23" t="n"/>
      <c r="W138" s="23" t="n"/>
      <c r="X138" s="23" t="n"/>
      <c r="Y138" s="23" t="n"/>
      <c r="Z138" s="23" t="n"/>
      <c r="AA138" s="23" t="n"/>
      <c r="AB138" s="30" t="n"/>
      <c r="AC138" s="1" t="n"/>
      <c r="AD138" s="1" t="str">
        <f>IF(G138="","",IFERROR(INDEX('Listas'!$N$6:$N$35,MATCH(G138,'Listas'!$M$6:$M$35,0)),""))</f>
        <v/>
      </c>
      <c r="AE138">
        <f>IF(G138="",1,IFERROR(INDEX('Listas'!$P$6:$P$35,MATCH(G138,'Listas'!$M$6:$M$35,0)),1))</f>
        <v>1</v>
      </c>
      <c r="AF138">
        <f>IF(H138="Compra",1,IF(H138="Venta",-1,0))</f>
        <v>0</v>
      </c>
      <c r="AG138">
        <f>IF(AND(D138&lt;&gt;"",ISNUMBER(R138)),1,0)</f>
        <v>0</v>
      </c>
      <c r="AH138">
        <f>IF(AG138=0,0,IF(OR('Panel'!$D$5="Todas las cuentas",'Panel'!$D$5="",F138='Panel'!$D$5),1,0))</f>
        <v>0</v>
      </c>
      <c r="AI138">
        <f>IF(AH138=0,0,IF(AND(OR('Panel'!$G$5="",D138&gt;='Panel'!$G$5),OR('Panel'!$J$5="",D138&lt;='Panel'!$J$5)),1,0))</f>
        <v>0</v>
      </c>
      <c r="AJ138">
        <f>IF(AI138=1,R138,0)</f>
        <v>0</v>
      </c>
      <c r="AK138" t="str">
        <f>IF(AI138=1,'Panel'!$AB$4+SUM($AJ$5:AJ138),"")</f>
        <v/>
      </c>
      <c r="AL138">
        <f>IF(AI138=0,N(AL137),IF(R138&lt;0,N(AL137)+1,0))</f>
        <v>1</v>
      </c>
      <c r="AM138">
        <f>IF(AI138=0,N(AM137),IF(R138&gt;0,N(AM137)+1,0))</f>
        <v>0</v>
      </c>
      <c r="AN138">
        <f>IF(AI138=1,MAX('Panel'!$AB$4,N(AN137),AK138),N(AN137))</f>
        <v>21371.061500000033</v>
      </c>
      <c r="AO138">
        <f>IF(AI138=1,AN138-AK138,0)</f>
        <v>0</v>
      </c>
      <c r="AP138">
        <f>IF(AND(AI138=1,AN138&gt;0),AO138/AN138,0)</f>
        <v>0</v>
      </c>
      <c r="AQ138" t="str">
        <f>IF(AI138=1,SUM($AI$5:AI138),"")</f>
        <v/>
      </c>
      <c r="AR138" t="str">
        <f>IF(AI138=1,IF(COUNTIFS($D$5:D138,D138,$AI$5:AI138,1)=1,SUMIFS($AJ$5:$AJ$504,$D$5:$D$504,D138),""),"")</f>
        <v/>
      </c>
      <c r="AS138" t="str">
        <f>IF(AG138=1,WEEKDAY(D138,2),"")</f>
        <v/>
      </c>
      <c r="AT138" s="31" t="str">
        <f>IF(AG138=1,DATE(YEAR(D138),MONTH(D138),1),"")</f>
        <v/>
      </c>
      <c r="AU138">
        <f>IF(AG138=0,0,IF(AND(OR('Prop challenge'!$D$7="",F138='Prop challenge'!$D$7),OR('Prop challenge'!$D$9="",D138&gt;='Prop challenge'!$D$9)),1,0))</f>
        <v>0</v>
      </c>
      <c r="AV138">
        <f>IF(AU138=1,IF(COUNTIFS($D$5:D138,D138,$AU$5:AU138,1)=1,1,0),0)</f>
        <v>0</v>
      </c>
      <c r="AW138" t="str">
        <f>IF(AV138=1,SUM($AV$5:AV138),"")</f>
        <v/>
      </c>
      <c r="AX138" t="str">
        <f>IF(AV138=1,SUMIFS($R$5:$R$504,$D$5:$D$504,D138,$AU$5:$AU$504,1),"")</f>
        <v/>
      </c>
    </row>
    <row r="139">
      <c r="A139" s="20" t="str">
        <f>IF(AG139=1,ROW()-4,"")</f>
        <v/>
      </c>
      <c r="B139" s="21" t="n"/>
      <c r="C139" s="22" t="n"/>
      <c r="D139" s="21" t="n"/>
      <c r="E139" s="22" t="n"/>
      <c r="F139" s="23" t="n"/>
      <c r="G139" s="23" t="n"/>
      <c r="H139" s="23" t="n"/>
      <c r="I139" s="24" t="n"/>
      <c r="J139" s="25" t="n"/>
      <c r="K139" s="25" t="n"/>
      <c r="L139" s="25" t="n"/>
      <c r="M139" s="25" t="n"/>
      <c r="N139" s="26" t="n"/>
      <c r="O139" s="26" t="n"/>
      <c r="P139" s="27" t="str">
        <f>IF(OR(J139="",K139="",I139="",AF139=0,AD139=""),"",(K139-J139)*AF139*I139*AD139*AE139)</f>
        <v/>
      </c>
      <c r="Q139" s="26" t="n"/>
      <c r="R139" s="28" t="str">
        <f>IF(Q139&lt;&gt;"",Q139,IF(P139="","",P139-N(N139)+N(O139)))</f>
        <v/>
      </c>
      <c r="S139" s="27" t="str">
        <f>IF(OR(L139="",J139="",I139="",AD139=""),"",ABS(J139-L139)*I139*AD139*AE139)</f>
        <v/>
      </c>
      <c r="T139" s="29" t="str">
        <f>IF(OR(R139="",S139="",S139=0),"",R139/S139)</f>
        <v/>
      </c>
      <c r="U139" s="20" t="str">
        <f>IF(R139="","",IF(R139&gt;0,"Ganadora",IF(R139&lt;0,"Perdedora","BE")))</f>
        <v/>
      </c>
      <c r="V139" s="23" t="n"/>
      <c r="W139" s="23" t="n"/>
      <c r="X139" s="23" t="n"/>
      <c r="Y139" s="23" t="n"/>
      <c r="Z139" s="23" t="n"/>
      <c r="AA139" s="23" t="n"/>
      <c r="AB139" s="30" t="n"/>
      <c r="AC139" s="1" t="n"/>
      <c r="AD139" s="1" t="str">
        <f>IF(G139="","",IFERROR(INDEX('Listas'!$N$6:$N$35,MATCH(G139,'Listas'!$M$6:$M$35,0)),""))</f>
        <v/>
      </c>
      <c r="AE139">
        <f>IF(G139="",1,IFERROR(INDEX('Listas'!$P$6:$P$35,MATCH(G139,'Listas'!$M$6:$M$35,0)),1))</f>
        <v>1</v>
      </c>
      <c r="AF139">
        <f>IF(H139="Compra",1,IF(H139="Venta",-1,0))</f>
        <v>0</v>
      </c>
      <c r="AG139">
        <f>IF(AND(D139&lt;&gt;"",ISNUMBER(R139)),1,0)</f>
        <v>0</v>
      </c>
      <c r="AH139">
        <f>IF(AG139=0,0,IF(OR('Panel'!$D$5="Todas las cuentas",'Panel'!$D$5="",F139='Panel'!$D$5),1,0))</f>
        <v>0</v>
      </c>
      <c r="AI139">
        <f>IF(AH139=0,0,IF(AND(OR('Panel'!$G$5="",D139&gt;='Panel'!$G$5),OR('Panel'!$J$5="",D139&lt;='Panel'!$J$5)),1,0))</f>
        <v>0</v>
      </c>
      <c r="AJ139">
        <f>IF(AI139=1,R139,0)</f>
        <v>0</v>
      </c>
      <c r="AK139" t="str">
        <f>IF(AI139=1,'Panel'!$AB$4+SUM($AJ$5:AJ139),"")</f>
        <v/>
      </c>
      <c r="AL139">
        <f>IF(AI139=0,N(AL138),IF(R139&lt;0,N(AL138)+1,0))</f>
        <v>1</v>
      </c>
      <c r="AM139">
        <f>IF(AI139=0,N(AM138),IF(R139&gt;0,N(AM138)+1,0))</f>
        <v>0</v>
      </c>
      <c r="AN139">
        <f>IF(AI139=1,MAX('Panel'!$AB$4,N(AN138),AK139),N(AN138))</f>
        <v>21371.061500000033</v>
      </c>
      <c r="AO139">
        <f>IF(AI139=1,AN139-AK139,0)</f>
        <v>0</v>
      </c>
      <c r="AP139">
        <f>IF(AND(AI139=1,AN139&gt;0),AO139/AN139,0)</f>
        <v>0</v>
      </c>
      <c r="AQ139" t="str">
        <f>IF(AI139=1,SUM($AI$5:AI139),"")</f>
        <v/>
      </c>
      <c r="AR139" t="str">
        <f>IF(AI139=1,IF(COUNTIFS($D$5:D139,D139,$AI$5:AI139,1)=1,SUMIFS($AJ$5:$AJ$504,$D$5:$D$504,D139),""),"")</f>
        <v/>
      </c>
      <c r="AS139" t="str">
        <f>IF(AG139=1,WEEKDAY(D139,2),"")</f>
        <v/>
      </c>
      <c r="AT139" s="31" t="str">
        <f>IF(AG139=1,DATE(YEAR(D139),MONTH(D139),1),"")</f>
        <v/>
      </c>
      <c r="AU139">
        <f>IF(AG139=0,0,IF(AND(OR('Prop challenge'!$D$7="",F139='Prop challenge'!$D$7),OR('Prop challenge'!$D$9="",D139&gt;='Prop challenge'!$D$9)),1,0))</f>
        <v>0</v>
      </c>
      <c r="AV139">
        <f>IF(AU139=1,IF(COUNTIFS($D$5:D139,D139,$AU$5:AU139,1)=1,1,0),0)</f>
        <v>0</v>
      </c>
      <c r="AW139" t="str">
        <f>IF(AV139=1,SUM($AV$5:AV139),"")</f>
        <v/>
      </c>
      <c r="AX139" t="str">
        <f>IF(AV139=1,SUMIFS($R$5:$R$504,$D$5:$D$504,D139,$AU$5:$AU$504,1),"")</f>
        <v/>
      </c>
    </row>
    <row r="140">
      <c r="A140" s="20" t="str">
        <f>IF(AG140=1,ROW()-4,"")</f>
        <v/>
      </c>
      <c r="B140" s="21" t="n"/>
      <c r="C140" s="22" t="n"/>
      <c r="D140" s="21" t="n"/>
      <c r="E140" s="22" t="n"/>
      <c r="F140" s="23" t="n"/>
      <c r="G140" s="23" t="n"/>
      <c r="H140" s="23" t="n"/>
      <c r="I140" s="24" t="n"/>
      <c r="J140" s="25" t="n"/>
      <c r="K140" s="25" t="n"/>
      <c r="L140" s="25" t="n"/>
      <c r="M140" s="25" t="n"/>
      <c r="N140" s="26" t="n"/>
      <c r="O140" s="26" t="n"/>
      <c r="P140" s="27" t="str">
        <f>IF(OR(J140="",K140="",I140="",AF140=0,AD140=""),"",(K140-J140)*AF140*I140*AD140*AE140)</f>
        <v/>
      </c>
      <c r="Q140" s="26" t="n"/>
      <c r="R140" s="28" t="str">
        <f>IF(Q140&lt;&gt;"",Q140,IF(P140="","",P140-N(N140)+N(O140)))</f>
        <v/>
      </c>
      <c r="S140" s="27" t="str">
        <f>IF(OR(L140="",J140="",I140="",AD140=""),"",ABS(J140-L140)*I140*AD140*AE140)</f>
        <v/>
      </c>
      <c r="T140" s="29" t="str">
        <f>IF(OR(R140="",S140="",S140=0),"",R140/S140)</f>
        <v/>
      </c>
      <c r="U140" s="20" t="str">
        <f>IF(R140="","",IF(R140&gt;0,"Ganadora",IF(R140&lt;0,"Perdedora","BE")))</f>
        <v/>
      </c>
      <c r="V140" s="23" t="n"/>
      <c r="W140" s="23" t="n"/>
      <c r="X140" s="23" t="n"/>
      <c r="Y140" s="23" t="n"/>
      <c r="Z140" s="23" t="n"/>
      <c r="AA140" s="23" t="n"/>
      <c r="AB140" s="30" t="n"/>
      <c r="AC140" s="1" t="n"/>
      <c r="AD140" s="1" t="str">
        <f>IF(G140="","",IFERROR(INDEX('Listas'!$N$6:$N$35,MATCH(G140,'Listas'!$M$6:$M$35,0)),""))</f>
        <v/>
      </c>
      <c r="AE140">
        <f>IF(G140="",1,IFERROR(INDEX('Listas'!$P$6:$P$35,MATCH(G140,'Listas'!$M$6:$M$35,0)),1))</f>
        <v>1</v>
      </c>
      <c r="AF140">
        <f>IF(H140="Compra",1,IF(H140="Venta",-1,0))</f>
        <v>0</v>
      </c>
      <c r="AG140">
        <f>IF(AND(D140&lt;&gt;"",ISNUMBER(R140)),1,0)</f>
        <v>0</v>
      </c>
      <c r="AH140">
        <f>IF(AG140=0,0,IF(OR('Panel'!$D$5="Todas las cuentas",'Panel'!$D$5="",F140='Panel'!$D$5),1,0))</f>
        <v>0</v>
      </c>
      <c r="AI140">
        <f>IF(AH140=0,0,IF(AND(OR('Panel'!$G$5="",D140&gt;='Panel'!$G$5),OR('Panel'!$J$5="",D140&lt;='Panel'!$J$5)),1,0))</f>
        <v>0</v>
      </c>
      <c r="AJ140">
        <f>IF(AI140=1,R140,0)</f>
        <v>0</v>
      </c>
      <c r="AK140" t="str">
        <f>IF(AI140=1,'Panel'!$AB$4+SUM($AJ$5:AJ140),"")</f>
        <v/>
      </c>
      <c r="AL140">
        <f>IF(AI140=0,N(AL139),IF(R140&lt;0,N(AL139)+1,0))</f>
        <v>1</v>
      </c>
      <c r="AM140">
        <f>IF(AI140=0,N(AM139),IF(R140&gt;0,N(AM139)+1,0))</f>
        <v>0</v>
      </c>
      <c r="AN140">
        <f>IF(AI140=1,MAX('Panel'!$AB$4,N(AN139),AK140),N(AN139))</f>
        <v>21371.061500000033</v>
      </c>
      <c r="AO140">
        <f>IF(AI140=1,AN140-AK140,0)</f>
        <v>0</v>
      </c>
      <c r="AP140">
        <f>IF(AND(AI140=1,AN140&gt;0),AO140/AN140,0)</f>
        <v>0</v>
      </c>
      <c r="AQ140" t="str">
        <f>IF(AI140=1,SUM($AI$5:AI140),"")</f>
        <v/>
      </c>
      <c r="AR140" t="str">
        <f>IF(AI140=1,IF(COUNTIFS($D$5:D140,D140,$AI$5:AI140,1)=1,SUMIFS($AJ$5:$AJ$504,$D$5:$D$504,D140),""),"")</f>
        <v/>
      </c>
      <c r="AS140" t="str">
        <f>IF(AG140=1,WEEKDAY(D140,2),"")</f>
        <v/>
      </c>
      <c r="AT140" s="31" t="str">
        <f>IF(AG140=1,DATE(YEAR(D140),MONTH(D140),1),"")</f>
        <v/>
      </c>
      <c r="AU140">
        <f>IF(AG140=0,0,IF(AND(OR('Prop challenge'!$D$7="",F140='Prop challenge'!$D$7),OR('Prop challenge'!$D$9="",D140&gt;='Prop challenge'!$D$9)),1,0))</f>
        <v>0</v>
      </c>
      <c r="AV140">
        <f>IF(AU140=1,IF(COUNTIFS($D$5:D140,D140,$AU$5:AU140,1)=1,1,0),0)</f>
        <v>0</v>
      </c>
      <c r="AW140" t="str">
        <f>IF(AV140=1,SUM($AV$5:AV140),"")</f>
        <v/>
      </c>
      <c r="AX140" t="str">
        <f>IF(AV140=1,SUMIFS($R$5:$R$504,$D$5:$D$504,D140,$AU$5:$AU$504,1),"")</f>
        <v/>
      </c>
    </row>
    <row r="141">
      <c r="A141" s="20" t="str">
        <f>IF(AG141=1,ROW()-4,"")</f>
        <v/>
      </c>
      <c r="B141" s="21" t="n"/>
      <c r="C141" s="22" t="n"/>
      <c r="D141" s="21" t="n"/>
      <c r="E141" s="22" t="n"/>
      <c r="F141" s="23" t="n"/>
      <c r="G141" s="23" t="n"/>
      <c r="H141" s="23" t="n"/>
      <c r="I141" s="24" t="n"/>
      <c r="J141" s="25" t="n"/>
      <c r="K141" s="25" t="n"/>
      <c r="L141" s="25" t="n"/>
      <c r="M141" s="25" t="n"/>
      <c r="N141" s="26" t="n"/>
      <c r="O141" s="26" t="n"/>
      <c r="P141" s="27" t="str">
        <f>IF(OR(J141="",K141="",I141="",AF141=0,AD141=""),"",(K141-J141)*AF141*I141*AD141*AE141)</f>
        <v/>
      </c>
      <c r="Q141" s="26" t="n"/>
      <c r="R141" s="28" t="str">
        <f>IF(Q141&lt;&gt;"",Q141,IF(P141="","",P141-N(N141)+N(O141)))</f>
        <v/>
      </c>
      <c r="S141" s="27" t="str">
        <f>IF(OR(L141="",J141="",I141="",AD141=""),"",ABS(J141-L141)*I141*AD141*AE141)</f>
        <v/>
      </c>
      <c r="T141" s="29" t="str">
        <f>IF(OR(R141="",S141="",S141=0),"",R141/S141)</f>
        <v/>
      </c>
      <c r="U141" s="20" t="str">
        <f>IF(R141="","",IF(R141&gt;0,"Ganadora",IF(R141&lt;0,"Perdedora","BE")))</f>
        <v/>
      </c>
      <c r="V141" s="23" t="n"/>
      <c r="W141" s="23" t="n"/>
      <c r="X141" s="23" t="n"/>
      <c r="Y141" s="23" t="n"/>
      <c r="Z141" s="23" t="n"/>
      <c r="AA141" s="23" t="n"/>
      <c r="AB141" s="30" t="n"/>
      <c r="AC141" s="1" t="n"/>
      <c r="AD141" s="1" t="str">
        <f>IF(G141="","",IFERROR(INDEX('Listas'!$N$6:$N$35,MATCH(G141,'Listas'!$M$6:$M$35,0)),""))</f>
        <v/>
      </c>
      <c r="AE141">
        <f>IF(G141="",1,IFERROR(INDEX('Listas'!$P$6:$P$35,MATCH(G141,'Listas'!$M$6:$M$35,0)),1))</f>
        <v>1</v>
      </c>
      <c r="AF141">
        <f>IF(H141="Compra",1,IF(H141="Venta",-1,0))</f>
        <v>0</v>
      </c>
      <c r="AG141">
        <f>IF(AND(D141&lt;&gt;"",ISNUMBER(R141)),1,0)</f>
        <v>0</v>
      </c>
      <c r="AH141">
        <f>IF(AG141=0,0,IF(OR('Panel'!$D$5="Todas las cuentas",'Panel'!$D$5="",F141='Panel'!$D$5),1,0))</f>
        <v>0</v>
      </c>
      <c r="AI141">
        <f>IF(AH141=0,0,IF(AND(OR('Panel'!$G$5="",D141&gt;='Panel'!$G$5),OR('Panel'!$J$5="",D141&lt;='Panel'!$J$5)),1,0))</f>
        <v>0</v>
      </c>
      <c r="AJ141">
        <f>IF(AI141=1,R141,0)</f>
        <v>0</v>
      </c>
      <c r="AK141" t="str">
        <f>IF(AI141=1,'Panel'!$AB$4+SUM($AJ$5:AJ141),"")</f>
        <v/>
      </c>
      <c r="AL141">
        <f>IF(AI141=0,N(AL140),IF(R141&lt;0,N(AL140)+1,0))</f>
        <v>1</v>
      </c>
      <c r="AM141">
        <f>IF(AI141=0,N(AM140),IF(R141&gt;0,N(AM140)+1,0))</f>
        <v>0</v>
      </c>
      <c r="AN141">
        <f>IF(AI141=1,MAX('Panel'!$AB$4,N(AN140),AK141),N(AN140))</f>
        <v>21371.061500000033</v>
      </c>
      <c r="AO141">
        <f>IF(AI141=1,AN141-AK141,0)</f>
        <v>0</v>
      </c>
      <c r="AP141">
        <f>IF(AND(AI141=1,AN141&gt;0),AO141/AN141,0)</f>
        <v>0</v>
      </c>
      <c r="AQ141" t="str">
        <f>IF(AI141=1,SUM($AI$5:AI141),"")</f>
        <v/>
      </c>
      <c r="AR141" t="str">
        <f>IF(AI141=1,IF(COUNTIFS($D$5:D141,D141,$AI$5:AI141,1)=1,SUMIFS($AJ$5:$AJ$504,$D$5:$D$504,D141),""),"")</f>
        <v/>
      </c>
      <c r="AS141" t="str">
        <f>IF(AG141=1,WEEKDAY(D141,2),"")</f>
        <v/>
      </c>
      <c r="AT141" s="31" t="str">
        <f>IF(AG141=1,DATE(YEAR(D141),MONTH(D141),1),"")</f>
        <v/>
      </c>
      <c r="AU141">
        <f>IF(AG141=0,0,IF(AND(OR('Prop challenge'!$D$7="",F141='Prop challenge'!$D$7),OR('Prop challenge'!$D$9="",D141&gt;='Prop challenge'!$D$9)),1,0))</f>
        <v>0</v>
      </c>
      <c r="AV141">
        <f>IF(AU141=1,IF(COUNTIFS($D$5:D141,D141,$AU$5:AU141,1)=1,1,0),0)</f>
        <v>0</v>
      </c>
      <c r="AW141" t="str">
        <f>IF(AV141=1,SUM($AV$5:AV141),"")</f>
        <v/>
      </c>
      <c r="AX141" t="str">
        <f>IF(AV141=1,SUMIFS($R$5:$R$504,$D$5:$D$504,D141,$AU$5:$AU$504,1),"")</f>
        <v/>
      </c>
    </row>
    <row r="142">
      <c r="A142" s="20" t="str">
        <f>IF(AG142=1,ROW()-4,"")</f>
        <v/>
      </c>
      <c r="B142" s="21" t="n"/>
      <c r="C142" s="22" t="n"/>
      <c r="D142" s="21" t="n"/>
      <c r="E142" s="22" t="n"/>
      <c r="F142" s="23" t="n"/>
      <c r="G142" s="23" t="n"/>
      <c r="H142" s="23" t="n"/>
      <c r="I142" s="24" t="n"/>
      <c r="J142" s="25" t="n"/>
      <c r="K142" s="25" t="n"/>
      <c r="L142" s="25" t="n"/>
      <c r="M142" s="25" t="n"/>
      <c r="N142" s="26" t="n"/>
      <c r="O142" s="26" t="n"/>
      <c r="P142" s="27" t="str">
        <f>IF(OR(J142="",K142="",I142="",AF142=0,AD142=""),"",(K142-J142)*AF142*I142*AD142*AE142)</f>
        <v/>
      </c>
      <c r="Q142" s="26" t="n"/>
      <c r="R142" s="28" t="str">
        <f>IF(Q142&lt;&gt;"",Q142,IF(P142="","",P142-N(N142)+N(O142)))</f>
        <v/>
      </c>
      <c r="S142" s="27" t="str">
        <f>IF(OR(L142="",J142="",I142="",AD142=""),"",ABS(J142-L142)*I142*AD142*AE142)</f>
        <v/>
      </c>
      <c r="T142" s="29" t="str">
        <f>IF(OR(R142="",S142="",S142=0),"",R142/S142)</f>
        <v/>
      </c>
      <c r="U142" s="20" t="str">
        <f>IF(R142="","",IF(R142&gt;0,"Ganadora",IF(R142&lt;0,"Perdedora","BE")))</f>
        <v/>
      </c>
      <c r="V142" s="23" t="n"/>
      <c r="W142" s="23" t="n"/>
      <c r="X142" s="23" t="n"/>
      <c r="Y142" s="23" t="n"/>
      <c r="Z142" s="23" t="n"/>
      <c r="AA142" s="23" t="n"/>
      <c r="AB142" s="30" t="n"/>
      <c r="AC142" s="1" t="n"/>
      <c r="AD142" s="1" t="str">
        <f>IF(G142="","",IFERROR(INDEX('Listas'!$N$6:$N$35,MATCH(G142,'Listas'!$M$6:$M$35,0)),""))</f>
        <v/>
      </c>
      <c r="AE142">
        <f>IF(G142="",1,IFERROR(INDEX('Listas'!$P$6:$P$35,MATCH(G142,'Listas'!$M$6:$M$35,0)),1))</f>
        <v>1</v>
      </c>
      <c r="AF142">
        <f>IF(H142="Compra",1,IF(H142="Venta",-1,0))</f>
        <v>0</v>
      </c>
      <c r="AG142">
        <f>IF(AND(D142&lt;&gt;"",ISNUMBER(R142)),1,0)</f>
        <v>0</v>
      </c>
      <c r="AH142">
        <f>IF(AG142=0,0,IF(OR('Panel'!$D$5="Todas las cuentas",'Panel'!$D$5="",F142='Panel'!$D$5),1,0))</f>
        <v>0</v>
      </c>
      <c r="AI142">
        <f>IF(AH142=0,0,IF(AND(OR('Panel'!$G$5="",D142&gt;='Panel'!$G$5),OR('Panel'!$J$5="",D142&lt;='Panel'!$J$5)),1,0))</f>
        <v>0</v>
      </c>
      <c r="AJ142">
        <f>IF(AI142=1,R142,0)</f>
        <v>0</v>
      </c>
      <c r="AK142" t="str">
        <f>IF(AI142=1,'Panel'!$AB$4+SUM($AJ$5:AJ142),"")</f>
        <v/>
      </c>
      <c r="AL142">
        <f>IF(AI142=0,N(AL141),IF(R142&lt;0,N(AL141)+1,0))</f>
        <v>1</v>
      </c>
      <c r="AM142">
        <f>IF(AI142=0,N(AM141),IF(R142&gt;0,N(AM141)+1,0))</f>
        <v>0</v>
      </c>
      <c r="AN142">
        <f>IF(AI142=1,MAX('Panel'!$AB$4,N(AN141),AK142),N(AN141))</f>
        <v>21371.061500000033</v>
      </c>
      <c r="AO142">
        <f>IF(AI142=1,AN142-AK142,0)</f>
        <v>0</v>
      </c>
      <c r="AP142">
        <f>IF(AND(AI142=1,AN142&gt;0),AO142/AN142,0)</f>
        <v>0</v>
      </c>
      <c r="AQ142" t="str">
        <f>IF(AI142=1,SUM($AI$5:AI142),"")</f>
        <v/>
      </c>
      <c r="AR142" t="str">
        <f>IF(AI142=1,IF(COUNTIFS($D$5:D142,D142,$AI$5:AI142,1)=1,SUMIFS($AJ$5:$AJ$504,$D$5:$D$504,D142),""),"")</f>
        <v/>
      </c>
      <c r="AS142" t="str">
        <f>IF(AG142=1,WEEKDAY(D142,2),"")</f>
        <v/>
      </c>
      <c r="AT142" s="31" t="str">
        <f>IF(AG142=1,DATE(YEAR(D142),MONTH(D142),1),"")</f>
        <v/>
      </c>
      <c r="AU142">
        <f>IF(AG142=0,0,IF(AND(OR('Prop challenge'!$D$7="",F142='Prop challenge'!$D$7),OR('Prop challenge'!$D$9="",D142&gt;='Prop challenge'!$D$9)),1,0))</f>
        <v>0</v>
      </c>
      <c r="AV142">
        <f>IF(AU142=1,IF(COUNTIFS($D$5:D142,D142,$AU$5:AU142,1)=1,1,0),0)</f>
        <v>0</v>
      </c>
      <c r="AW142" t="str">
        <f>IF(AV142=1,SUM($AV$5:AV142),"")</f>
        <v/>
      </c>
      <c r="AX142" t="str">
        <f>IF(AV142=1,SUMIFS($R$5:$R$504,$D$5:$D$504,D142,$AU$5:$AU$504,1),"")</f>
        <v/>
      </c>
    </row>
    <row r="143">
      <c r="A143" s="20" t="str">
        <f>IF(AG143=1,ROW()-4,"")</f>
        <v/>
      </c>
      <c r="B143" s="21" t="n"/>
      <c r="C143" s="22" t="n"/>
      <c r="D143" s="21" t="n"/>
      <c r="E143" s="22" t="n"/>
      <c r="F143" s="23" t="n"/>
      <c r="G143" s="23" t="n"/>
      <c r="H143" s="23" t="n"/>
      <c r="I143" s="24" t="n"/>
      <c r="J143" s="25" t="n"/>
      <c r="K143" s="25" t="n"/>
      <c r="L143" s="25" t="n"/>
      <c r="M143" s="25" t="n"/>
      <c r="N143" s="26" t="n"/>
      <c r="O143" s="26" t="n"/>
      <c r="P143" s="27" t="str">
        <f>IF(OR(J143="",K143="",I143="",AF143=0,AD143=""),"",(K143-J143)*AF143*I143*AD143*AE143)</f>
        <v/>
      </c>
      <c r="Q143" s="26" t="n"/>
      <c r="R143" s="28" t="str">
        <f>IF(Q143&lt;&gt;"",Q143,IF(P143="","",P143-N(N143)+N(O143)))</f>
        <v/>
      </c>
      <c r="S143" s="27" t="str">
        <f>IF(OR(L143="",J143="",I143="",AD143=""),"",ABS(J143-L143)*I143*AD143*AE143)</f>
        <v/>
      </c>
      <c r="T143" s="29" t="str">
        <f>IF(OR(R143="",S143="",S143=0),"",R143/S143)</f>
        <v/>
      </c>
      <c r="U143" s="20" t="str">
        <f>IF(R143="","",IF(R143&gt;0,"Ganadora",IF(R143&lt;0,"Perdedora","BE")))</f>
        <v/>
      </c>
      <c r="V143" s="23" t="n"/>
      <c r="W143" s="23" t="n"/>
      <c r="X143" s="23" t="n"/>
      <c r="Y143" s="23" t="n"/>
      <c r="Z143" s="23" t="n"/>
      <c r="AA143" s="23" t="n"/>
      <c r="AB143" s="30" t="n"/>
      <c r="AC143" s="1" t="n"/>
      <c r="AD143" s="1" t="str">
        <f>IF(G143="","",IFERROR(INDEX('Listas'!$N$6:$N$35,MATCH(G143,'Listas'!$M$6:$M$35,0)),""))</f>
        <v/>
      </c>
      <c r="AE143">
        <f>IF(G143="",1,IFERROR(INDEX('Listas'!$P$6:$P$35,MATCH(G143,'Listas'!$M$6:$M$35,0)),1))</f>
        <v>1</v>
      </c>
      <c r="AF143">
        <f>IF(H143="Compra",1,IF(H143="Venta",-1,0))</f>
        <v>0</v>
      </c>
      <c r="AG143">
        <f>IF(AND(D143&lt;&gt;"",ISNUMBER(R143)),1,0)</f>
        <v>0</v>
      </c>
      <c r="AH143">
        <f>IF(AG143=0,0,IF(OR('Panel'!$D$5="Todas las cuentas",'Panel'!$D$5="",F143='Panel'!$D$5),1,0))</f>
        <v>0</v>
      </c>
      <c r="AI143">
        <f>IF(AH143=0,0,IF(AND(OR('Panel'!$G$5="",D143&gt;='Panel'!$G$5),OR('Panel'!$J$5="",D143&lt;='Panel'!$J$5)),1,0))</f>
        <v>0</v>
      </c>
      <c r="AJ143">
        <f>IF(AI143=1,R143,0)</f>
        <v>0</v>
      </c>
      <c r="AK143" t="str">
        <f>IF(AI143=1,'Panel'!$AB$4+SUM($AJ$5:AJ143),"")</f>
        <v/>
      </c>
      <c r="AL143">
        <f>IF(AI143=0,N(AL142),IF(R143&lt;0,N(AL142)+1,0))</f>
        <v>1</v>
      </c>
      <c r="AM143">
        <f>IF(AI143=0,N(AM142),IF(R143&gt;0,N(AM142)+1,0))</f>
        <v>0</v>
      </c>
      <c r="AN143">
        <f>IF(AI143=1,MAX('Panel'!$AB$4,N(AN142),AK143),N(AN142))</f>
        <v>21371.061500000033</v>
      </c>
      <c r="AO143">
        <f>IF(AI143=1,AN143-AK143,0)</f>
        <v>0</v>
      </c>
      <c r="AP143">
        <f>IF(AND(AI143=1,AN143&gt;0),AO143/AN143,0)</f>
        <v>0</v>
      </c>
      <c r="AQ143" t="str">
        <f>IF(AI143=1,SUM($AI$5:AI143),"")</f>
        <v/>
      </c>
      <c r="AR143" t="str">
        <f>IF(AI143=1,IF(COUNTIFS($D$5:D143,D143,$AI$5:AI143,1)=1,SUMIFS($AJ$5:$AJ$504,$D$5:$D$504,D143),""),"")</f>
        <v/>
      </c>
      <c r="AS143" t="str">
        <f>IF(AG143=1,WEEKDAY(D143,2),"")</f>
        <v/>
      </c>
      <c r="AT143" s="31" t="str">
        <f>IF(AG143=1,DATE(YEAR(D143),MONTH(D143),1),"")</f>
        <v/>
      </c>
      <c r="AU143">
        <f>IF(AG143=0,0,IF(AND(OR('Prop challenge'!$D$7="",F143='Prop challenge'!$D$7),OR('Prop challenge'!$D$9="",D143&gt;='Prop challenge'!$D$9)),1,0))</f>
        <v>0</v>
      </c>
      <c r="AV143">
        <f>IF(AU143=1,IF(COUNTIFS($D$5:D143,D143,$AU$5:AU143,1)=1,1,0),0)</f>
        <v>0</v>
      </c>
      <c r="AW143" t="str">
        <f>IF(AV143=1,SUM($AV$5:AV143),"")</f>
        <v/>
      </c>
      <c r="AX143" t="str">
        <f>IF(AV143=1,SUMIFS($R$5:$R$504,$D$5:$D$504,D143,$AU$5:$AU$504,1),"")</f>
        <v/>
      </c>
    </row>
    <row r="144">
      <c r="A144" s="20" t="str">
        <f>IF(AG144=1,ROW()-4,"")</f>
        <v/>
      </c>
      <c r="B144" s="21" t="n"/>
      <c r="C144" s="22" t="n"/>
      <c r="D144" s="21" t="n"/>
      <c r="E144" s="22" t="n"/>
      <c r="F144" s="23" t="n"/>
      <c r="G144" s="23" t="n"/>
      <c r="H144" s="23" t="n"/>
      <c r="I144" s="24" t="n"/>
      <c r="J144" s="25" t="n"/>
      <c r="K144" s="25" t="n"/>
      <c r="L144" s="25" t="n"/>
      <c r="M144" s="25" t="n"/>
      <c r="N144" s="26" t="n"/>
      <c r="O144" s="26" t="n"/>
      <c r="P144" s="27" t="str">
        <f>IF(OR(J144="",K144="",I144="",AF144=0,AD144=""),"",(K144-J144)*AF144*I144*AD144*AE144)</f>
        <v/>
      </c>
      <c r="Q144" s="26" t="n"/>
      <c r="R144" s="28" t="str">
        <f>IF(Q144&lt;&gt;"",Q144,IF(P144="","",P144-N(N144)+N(O144)))</f>
        <v/>
      </c>
      <c r="S144" s="27" t="str">
        <f>IF(OR(L144="",J144="",I144="",AD144=""),"",ABS(J144-L144)*I144*AD144*AE144)</f>
        <v/>
      </c>
      <c r="T144" s="29" t="str">
        <f>IF(OR(R144="",S144="",S144=0),"",R144/S144)</f>
        <v/>
      </c>
      <c r="U144" s="20" t="str">
        <f>IF(R144="","",IF(R144&gt;0,"Ganadora",IF(R144&lt;0,"Perdedora","BE")))</f>
        <v/>
      </c>
      <c r="V144" s="23" t="n"/>
      <c r="W144" s="23" t="n"/>
      <c r="X144" s="23" t="n"/>
      <c r="Y144" s="23" t="n"/>
      <c r="Z144" s="23" t="n"/>
      <c r="AA144" s="23" t="n"/>
      <c r="AB144" s="30" t="n"/>
      <c r="AC144" s="1" t="n"/>
      <c r="AD144" s="1" t="str">
        <f>IF(G144="","",IFERROR(INDEX('Listas'!$N$6:$N$35,MATCH(G144,'Listas'!$M$6:$M$35,0)),""))</f>
        <v/>
      </c>
      <c r="AE144">
        <f>IF(G144="",1,IFERROR(INDEX('Listas'!$P$6:$P$35,MATCH(G144,'Listas'!$M$6:$M$35,0)),1))</f>
        <v>1</v>
      </c>
      <c r="AF144">
        <f>IF(H144="Compra",1,IF(H144="Venta",-1,0))</f>
        <v>0</v>
      </c>
      <c r="AG144">
        <f>IF(AND(D144&lt;&gt;"",ISNUMBER(R144)),1,0)</f>
        <v>0</v>
      </c>
      <c r="AH144">
        <f>IF(AG144=0,0,IF(OR('Panel'!$D$5="Todas las cuentas",'Panel'!$D$5="",F144='Panel'!$D$5),1,0))</f>
        <v>0</v>
      </c>
      <c r="AI144">
        <f>IF(AH144=0,0,IF(AND(OR('Panel'!$G$5="",D144&gt;='Panel'!$G$5),OR('Panel'!$J$5="",D144&lt;='Panel'!$J$5)),1,0))</f>
        <v>0</v>
      </c>
      <c r="AJ144">
        <f>IF(AI144=1,R144,0)</f>
        <v>0</v>
      </c>
      <c r="AK144" t="str">
        <f>IF(AI144=1,'Panel'!$AB$4+SUM($AJ$5:AJ144),"")</f>
        <v/>
      </c>
      <c r="AL144">
        <f>IF(AI144=0,N(AL143),IF(R144&lt;0,N(AL143)+1,0))</f>
        <v>1</v>
      </c>
      <c r="AM144">
        <f>IF(AI144=0,N(AM143),IF(R144&gt;0,N(AM143)+1,0))</f>
        <v>0</v>
      </c>
      <c r="AN144">
        <f>IF(AI144=1,MAX('Panel'!$AB$4,N(AN143),AK144),N(AN143))</f>
        <v>21371.061500000033</v>
      </c>
      <c r="AO144">
        <f>IF(AI144=1,AN144-AK144,0)</f>
        <v>0</v>
      </c>
      <c r="AP144">
        <f>IF(AND(AI144=1,AN144&gt;0),AO144/AN144,0)</f>
        <v>0</v>
      </c>
      <c r="AQ144" t="str">
        <f>IF(AI144=1,SUM($AI$5:AI144),"")</f>
        <v/>
      </c>
      <c r="AR144" t="str">
        <f>IF(AI144=1,IF(COUNTIFS($D$5:D144,D144,$AI$5:AI144,1)=1,SUMIFS($AJ$5:$AJ$504,$D$5:$D$504,D144),""),"")</f>
        <v/>
      </c>
      <c r="AS144" t="str">
        <f>IF(AG144=1,WEEKDAY(D144,2),"")</f>
        <v/>
      </c>
      <c r="AT144" s="31" t="str">
        <f>IF(AG144=1,DATE(YEAR(D144),MONTH(D144),1),"")</f>
        <v/>
      </c>
      <c r="AU144">
        <f>IF(AG144=0,0,IF(AND(OR('Prop challenge'!$D$7="",F144='Prop challenge'!$D$7),OR('Prop challenge'!$D$9="",D144&gt;='Prop challenge'!$D$9)),1,0))</f>
        <v>0</v>
      </c>
      <c r="AV144">
        <f>IF(AU144=1,IF(COUNTIFS($D$5:D144,D144,$AU$5:AU144,1)=1,1,0),0)</f>
        <v>0</v>
      </c>
      <c r="AW144" t="str">
        <f>IF(AV144=1,SUM($AV$5:AV144),"")</f>
        <v/>
      </c>
      <c r="AX144" t="str">
        <f>IF(AV144=1,SUMIFS($R$5:$R$504,$D$5:$D$504,D144,$AU$5:$AU$504,1),"")</f>
        <v/>
      </c>
    </row>
    <row r="145">
      <c r="A145" s="20" t="str">
        <f>IF(AG145=1,ROW()-4,"")</f>
        <v/>
      </c>
      <c r="B145" s="21" t="n"/>
      <c r="C145" s="22" t="n"/>
      <c r="D145" s="21" t="n"/>
      <c r="E145" s="22" t="n"/>
      <c r="F145" s="23" t="n"/>
      <c r="G145" s="23" t="n"/>
      <c r="H145" s="23" t="n"/>
      <c r="I145" s="24" t="n"/>
      <c r="J145" s="25" t="n"/>
      <c r="K145" s="25" t="n"/>
      <c r="L145" s="25" t="n"/>
      <c r="M145" s="25" t="n"/>
      <c r="N145" s="26" t="n"/>
      <c r="O145" s="26" t="n"/>
      <c r="P145" s="27" t="str">
        <f>IF(OR(J145="",K145="",I145="",AF145=0,AD145=""),"",(K145-J145)*AF145*I145*AD145*AE145)</f>
        <v/>
      </c>
      <c r="Q145" s="26" t="n"/>
      <c r="R145" s="28" t="str">
        <f>IF(Q145&lt;&gt;"",Q145,IF(P145="","",P145-N(N145)+N(O145)))</f>
        <v/>
      </c>
      <c r="S145" s="27" t="str">
        <f>IF(OR(L145="",J145="",I145="",AD145=""),"",ABS(J145-L145)*I145*AD145*AE145)</f>
        <v/>
      </c>
      <c r="T145" s="29" t="str">
        <f>IF(OR(R145="",S145="",S145=0),"",R145/S145)</f>
        <v/>
      </c>
      <c r="U145" s="20" t="str">
        <f>IF(R145="","",IF(R145&gt;0,"Ganadora",IF(R145&lt;0,"Perdedora","BE")))</f>
        <v/>
      </c>
      <c r="V145" s="23" t="n"/>
      <c r="W145" s="23" t="n"/>
      <c r="X145" s="23" t="n"/>
      <c r="Y145" s="23" t="n"/>
      <c r="Z145" s="23" t="n"/>
      <c r="AA145" s="23" t="n"/>
      <c r="AB145" s="30" t="n"/>
      <c r="AC145" s="1" t="n"/>
      <c r="AD145" s="1" t="str">
        <f>IF(G145="","",IFERROR(INDEX('Listas'!$N$6:$N$35,MATCH(G145,'Listas'!$M$6:$M$35,0)),""))</f>
        <v/>
      </c>
      <c r="AE145">
        <f>IF(G145="",1,IFERROR(INDEX('Listas'!$P$6:$P$35,MATCH(G145,'Listas'!$M$6:$M$35,0)),1))</f>
        <v>1</v>
      </c>
      <c r="AF145">
        <f>IF(H145="Compra",1,IF(H145="Venta",-1,0))</f>
        <v>0</v>
      </c>
      <c r="AG145">
        <f>IF(AND(D145&lt;&gt;"",ISNUMBER(R145)),1,0)</f>
        <v>0</v>
      </c>
      <c r="AH145">
        <f>IF(AG145=0,0,IF(OR('Panel'!$D$5="Todas las cuentas",'Panel'!$D$5="",F145='Panel'!$D$5),1,0))</f>
        <v>0</v>
      </c>
      <c r="AI145">
        <f>IF(AH145=0,0,IF(AND(OR('Panel'!$G$5="",D145&gt;='Panel'!$G$5),OR('Panel'!$J$5="",D145&lt;='Panel'!$J$5)),1,0))</f>
        <v>0</v>
      </c>
      <c r="AJ145">
        <f>IF(AI145=1,R145,0)</f>
        <v>0</v>
      </c>
      <c r="AK145" t="str">
        <f>IF(AI145=1,'Panel'!$AB$4+SUM($AJ$5:AJ145),"")</f>
        <v/>
      </c>
      <c r="AL145">
        <f>IF(AI145=0,N(AL144),IF(R145&lt;0,N(AL144)+1,0))</f>
        <v>1</v>
      </c>
      <c r="AM145">
        <f>IF(AI145=0,N(AM144),IF(R145&gt;0,N(AM144)+1,0))</f>
        <v>0</v>
      </c>
      <c r="AN145">
        <f>IF(AI145=1,MAX('Panel'!$AB$4,N(AN144),AK145),N(AN144))</f>
        <v>21371.061500000033</v>
      </c>
      <c r="AO145">
        <f>IF(AI145=1,AN145-AK145,0)</f>
        <v>0</v>
      </c>
      <c r="AP145">
        <f>IF(AND(AI145=1,AN145&gt;0),AO145/AN145,0)</f>
        <v>0</v>
      </c>
      <c r="AQ145" t="str">
        <f>IF(AI145=1,SUM($AI$5:AI145),"")</f>
        <v/>
      </c>
      <c r="AR145" t="str">
        <f>IF(AI145=1,IF(COUNTIFS($D$5:D145,D145,$AI$5:AI145,1)=1,SUMIFS($AJ$5:$AJ$504,$D$5:$D$504,D145),""),"")</f>
        <v/>
      </c>
      <c r="AS145" t="str">
        <f>IF(AG145=1,WEEKDAY(D145,2),"")</f>
        <v/>
      </c>
      <c r="AT145" s="31" t="str">
        <f>IF(AG145=1,DATE(YEAR(D145),MONTH(D145),1),"")</f>
        <v/>
      </c>
      <c r="AU145">
        <f>IF(AG145=0,0,IF(AND(OR('Prop challenge'!$D$7="",F145='Prop challenge'!$D$7),OR('Prop challenge'!$D$9="",D145&gt;='Prop challenge'!$D$9)),1,0))</f>
        <v>0</v>
      </c>
      <c r="AV145">
        <f>IF(AU145=1,IF(COUNTIFS($D$5:D145,D145,$AU$5:AU145,1)=1,1,0),0)</f>
        <v>0</v>
      </c>
      <c r="AW145" t="str">
        <f>IF(AV145=1,SUM($AV$5:AV145),"")</f>
        <v/>
      </c>
      <c r="AX145" t="str">
        <f>IF(AV145=1,SUMIFS($R$5:$R$504,$D$5:$D$504,D145,$AU$5:$AU$504,1),"")</f>
        <v/>
      </c>
    </row>
    <row r="146">
      <c r="A146" s="20" t="str">
        <f>IF(AG146=1,ROW()-4,"")</f>
        <v/>
      </c>
      <c r="B146" s="21" t="n"/>
      <c r="C146" s="22" t="n"/>
      <c r="D146" s="21" t="n"/>
      <c r="E146" s="22" t="n"/>
      <c r="F146" s="23" t="n"/>
      <c r="G146" s="23" t="n"/>
      <c r="H146" s="23" t="n"/>
      <c r="I146" s="24" t="n"/>
      <c r="J146" s="25" t="n"/>
      <c r="K146" s="25" t="n"/>
      <c r="L146" s="25" t="n"/>
      <c r="M146" s="25" t="n"/>
      <c r="N146" s="26" t="n"/>
      <c r="O146" s="26" t="n"/>
      <c r="P146" s="27" t="str">
        <f>IF(OR(J146="",K146="",I146="",AF146=0,AD146=""),"",(K146-J146)*AF146*I146*AD146*AE146)</f>
        <v/>
      </c>
      <c r="Q146" s="26" t="n"/>
      <c r="R146" s="28" t="str">
        <f>IF(Q146&lt;&gt;"",Q146,IF(P146="","",P146-N(N146)+N(O146)))</f>
        <v/>
      </c>
      <c r="S146" s="27" t="str">
        <f>IF(OR(L146="",J146="",I146="",AD146=""),"",ABS(J146-L146)*I146*AD146*AE146)</f>
        <v/>
      </c>
      <c r="T146" s="29" t="str">
        <f>IF(OR(R146="",S146="",S146=0),"",R146/S146)</f>
        <v/>
      </c>
      <c r="U146" s="20" t="str">
        <f>IF(R146="","",IF(R146&gt;0,"Ganadora",IF(R146&lt;0,"Perdedora","BE")))</f>
        <v/>
      </c>
      <c r="V146" s="23" t="n"/>
      <c r="W146" s="23" t="n"/>
      <c r="X146" s="23" t="n"/>
      <c r="Y146" s="23" t="n"/>
      <c r="Z146" s="23" t="n"/>
      <c r="AA146" s="23" t="n"/>
      <c r="AB146" s="30" t="n"/>
      <c r="AC146" s="1" t="n"/>
      <c r="AD146" s="1" t="str">
        <f>IF(G146="","",IFERROR(INDEX('Listas'!$N$6:$N$35,MATCH(G146,'Listas'!$M$6:$M$35,0)),""))</f>
        <v/>
      </c>
      <c r="AE146">
        <f>IF(G146="",1,IFERROR(INDEX('Listas'!$P$6:$P$35,MATCH(G146,'Listas'!$M$6:$M$35,0)),1))</f>
        <v>1</v>
      </c>
      <c r="AF146">
        <f>IF(H146="Compra",1,IF(H146="Venta",-1,0))</f>
        <v>0</v>
      </c>
      <c r="AG146">
        <f>IF(AND(D146&lt;&gt;"",ISNUMBER(R146)),1,0)</f>
        <v>0</v>
      </c>
      <c r="AH146">
        <f>IF(AG146=0,0,IF(OR('Panel'!$D$5="Todas las cuentas",'Panel'!$D$5="",F146='Panel'!$D$5),1,0))</f>
        <v>0</v>
      </c>
      <c r="AI146">
        <f>IF(AH146=0,0,IF(AND(OR('Panel'!$G$5="",D146&gt;='Panel'!$G$5),OR('Panel'!$J$5="",D146&lt;='Panel'!$J$5)),1,0))</f>
        <v>0</v>
      </c>
      <c r="AJ146">
        <f>IF(AI146=1,R146,0)</f>
        <v>0</v>
      </c>
      <c r="AK146" t="str">
        <f>IF(AI146=1,'Panel'!$AB$4+SUM($AJ$5:AJ146),"")</f>
        <v/>
      </c>
      <c r="AL146">
        <f>IF(AI146=0,N(AL145),IF(R146&lt;0,N(AL145)+1,0))</f>
        <v>1</v>
      </c>
      <c r="AM146">
        <f>IF(AI146=0,N(AM145),IF(R146&gt;0,N(AM145)+1,0))</f>
        <v>0</v>
      </c>
      <c r="AN146">
        <f>IF(AI146=1,MAX('Panel'!$AB$4,N(AN145),AK146),N(AN145))</f>
        <v>21371.061500000033</v>
      </c>
      <c r="AO146">
        <f>IF(AI146=1,AN146-AK146,0)</f>
        <v>0</v>
      </c>
      <c r="AP146">
        <f>IF(AND(AI146=1,AN146&gt;0),AO146/AN146,0)</f>
        <v>0</v>
      </c>
      <c r="AQ146" t="str">
        <f>IF(AI146=1,SUM($AI$5:AI146),"")</f>
        <v/>
      </c>
      <c r="AR146" t="str">
        <f>IF(AI146=1,IF(COUNTIFS($D$5:D146,D146,$AI$5:AI146,1)=1,SUMIFS($AJ$5:$AJ$504,$D$5:$D$504,D146),""),"")</f>
        <v/>
      </c>
      <c r="AS146" t="str">
        <f>IF(AG146=1,WEEKDAY(D146,2),"")</f>
        <v/>
      </c>
      <c r="AT146" s="31" t="str">
        <f>IF(AG146=1,DATE(YEAR(D146),MONTH(D146),1),"")</f>
        <v/>
      </c>
      <c r="AU146">
        <f>IF(AG146=0,0,IF(AND(OR('Prop challenge'!$D$7="",F146='Prop challenge'!$D$7),OR('Prop challenge'!$D$9="",D146&gt;='Prop challenge'!$D$9)),1,0))</f>
        <v>0</v>
      </c>
      <c r="AV146">
        <f>IF(AU146=1,IF(COUNTIFS($D$5:D146,D146,$AU$5:AU146,1)=1,1,0),0)</f>
        <v>0</v>
      </c>
      <c r="AW146" t="str">
        <f>IF(AV146=1,SUM($AV$5:AV146),"")</f>
        <v/>
      </c>
      <c r="AX146" t="str">
        <f>IF(AV146=1,SUMIFS($R$5:$R$504,$D$5:$D$504,D146,$AU$5:$AU$504,1),"")</f>
        <v/>
      </c>
    </row>
    <row r="147">
      <c r="A147" s="20" t="str">
        <f>IF(AG147=1,ROW()-4,"")</f>
        <v/>
      </c>
      <c r="B147" s="21" t="n"/>
      <c r="C147" s="22" t="n"/>
      <c r="D147" s="21" t="n"/>
      <c r="E147" s="22" t="n"/>
      <c r="F147" s="23" t="n"/>
      <c r="G147" s="23" t="n"/>
      <c r="H147" s="23" t="n"/>
      <c r="I147" s="24" t="n"/>
      <c r="J147" s="25" t="n"/>
      <c r="K147" s="25" t="n"/>
      <c r="L147" s="25" t="n"/>
      <c r="M147" s="25" t="n"/>
      <c r="N147" s="26" t="n"/>
      <c r="O147" s="26" t="n"/>
      <c r="P147" s="27" t="str">
        <f>IF(OR(J147="",K147="",I147="",AF147=0,AD147=""),"",(K147-J147)*AF147*I147*AD147*AE147)</f>
        <v/>
      </c>
      <c r="Q147" s="26" t="n"/>
      <c r="R147" s="28" t="str">
        <f>IF(Q147&lt;&gt;"",Q147,IF(P147="","",P147-N(N147)+N(O147)))</f>
        <v/>
      </c>
      <c r="S147" s="27" t="str">
        <f>IF(OR(L147="",J147="",I147="",AD147=""),"",ABS(J147-L147)*I147*AD147*AE147)</f>
        <v/>
      </c>
      <c r="T147" s="29" t="str">
        <f>IF(OR(R147="",S147="",S147=0),"",R147/S147)</f>
        <v/>
      </c>
      <c r="U147" s="20" t="str">
        <f>IF(R147="","",IF(R147&gt;0,"Ganadora",IF(R147&lt;0,"Perdedora","BE")))</f>
        <v/>
      </c>
      <c r="V147" s="23" t="n"/>
      <c r="W147" s="23" t="n"/>
      <c r="X147" s="23" t="n"/>
      <c r="Y147" s="23" t="n"/>
      <c r="Z147" s="23" t="n"/>
      <c r="AA147" s="23" t="n"/>
      <c r="AB147" s="30" t="n"/>
      <c r="AC147" s="1" t="n"/>
      <c r="AD147" s="1" t="str">
        <f>IF(G147="","",IFERROR(INDEX('Listas'!$N$6:$N$35,MATCH(G147,'Listas'!$M$6:$M$35,0)),""))</f>
        <v/>
      </c>
      <c r="AE147">
        <f>IF(G147="",1,IFERROR(INDEX('Listas'!$P$6:$P$35,MATCH(G147,'Listas'!$M$6:$M$35,0)),1))</f>
        <v>1</v>
      </c>
      <c r="AF147">
        <f>IF(H147="Compra",1,IF(H147="Venta",-1,0))</f>
        <v>0</v>
      </c>
      <c r="AG147">
        <f>IF(AND(D147&lt;&gt;"",ISNUMBER(R147)),1,0)</f>
        <v>0</v>
      </c>
      <c r="AH147">
        <f>IF(AG147=0,0,IF(OR('Panel'!$D$5="Todas las cuentas",'Panel'!$D$5="",F147='Panel'!$D$5),1,0))</f>
        <v>0</v>
      </c>
      <c r="AI147">
        <f>IF(AH147=0,0,IF(AND(OR('Panel'!$G$5="",D147&gt;='Panel'!$G$5),OR('Panel'!$J$5="",D147&lt;='Panel'!$J$5)),1,0))</f>
        <v>0</v>
      </c>
      <c r="AJ147">
        <f>IF(AI147=1,R147,0)</f>
        <v>0</v>
      </c>
      <c r="AK147" t="str">
        <f>IF(AI147=1,'Panel'!$AB$4+SUM($AJ$5:AJ147),"")</f>
        <v/>
      </c>
      <c r="AL147">
        <f>IF(AI147=0,N(AL146),IF(R147&lt;0,N(AL146)+1,0))</f>
        <v>1</v>
      </c>
      <c r="AM147">
        <f>IF(AI147=0,N(AM146),IF(R147&gt;0,N(AM146)+1,0))</f>
        <v>0</v>
      </c>
      <c r="AN147">
        <f>IF(AI147=1,MAX('Panel'!$AB$4,N(AN146),AK147),N(AN146))</f>
        <v>21371.061500000033</v>
      </c>
      <c r="AO147">
        <f>IF(AI147=1,AN147-AK147,0)</f>
        <v>0</v>
      </c>
      <c r="AP147">
        <f>IF(AND(AI147=1,AN147&gt;0),AO147/AN147,0)</f>
        <v>0</v>
      </c>
      <c r="AQ147" t="str">
        <f>IF(AI147=1,SUM($AI$5:AI147),"")</f>
        <v/>
      </c>
      <c r="AR147" t="str">
        <f>IF(AI147=1,IF(COUNTIFS($D$5:D147,D147,$AI$5:AI147,1)=1,SUMIFS($AJ$5:$AJ$504,$D$5:$D$504,D147),""),"")</f>
        <v/>
      </c>
      <c r="AS147" t="str">
        <f>IF(AG147=1,WEEKDAY(D147,2),"")</f>
        <v/>
      </c>
      <c r="AT147" s="31" t="str">
        <f>IF(AG147=1,DATE(YEAR(D147),MONTH(D147),1),"")</f>
        <v/>
      </c>
      <c r="AU147">
        <f>IF(AG147=0,0,IF(AND(OR('Prop challenge'!$D$7="",F147='Prop challenge'!$D$7),OR('Prop challenge'!$D$9="",D147&gt;='Prop challenge'!$D$9)),1,0))</f>
        <v>0</v>
      </c>
      <c r="AV147">
        <f>IF(AU147=1,IF(COUNTIFS($D$5:D147,D147,$AU$5:AU147,1)=1,1,0),0)</f>
        <v>0</v>
      </c>
      <c r="AW147" t="str">
        <f>IF(AV147=1,SUM($AV$5:AV147),"")</f>
        <v/>
      </c>
      <c r="AX147" t="str">
        <f>IF(AV147=1,SUMIFS($R$5:$R$504,$D$5:$D$504,D147,$AU$5:$AU$504,1),"")</f>
        <v/>
      </c>
    </row>
    <row r="148">
      <c r="A148" s="20" t="str">
        <f>IF(AG148=1,ROW()-4,"")</f>
        <v/>
      </c>
      <c r="B148" s="21" t="n"/>
      <c r="C148" s="22" t="n"/>
      <c r="D148" s="21" t="n"/>
      <c r="E148" s="22" t="n"/>
      <c r="F148" s="23" t="n"/>
      <c r="G148" s="23" t="n"/>
      <c r="H148" s="23" t="n"/>
      <c r="I148" s="24" t="n"/>
      <c r="J148" s="25" t="n"/>
      <c r="K148" s="25" t="n"/>
      <c r="L148" s="25" t="n"/>
      <c r="M148" s="25" t="n"/>
      <c r="N148" s="26" t="n"/>
      <c r="O148" s="26" t="n"/>
      <c r="P148" s="27" t="str">
        <f>IF(OR(J148="",K148="",I148="",AF148=0,AD148=""),"",(K148-J148)*AF148*I148*AD148*AE148)</f>
        <v/>
      </c>
      <c r="Q148" s="26" t="n"/>
      <c r="R148" s="28" t="str">
        <f>IF(Q148&lt;&gt;"",Q148,IF(P148="","",P148-N(N148)+N(O148)))</f>
        <v/>
      </c>
      <c r="S148" s="27" t="str">
        <f>IF(OR(L148="",J148="",I148="",AD148=""),"",ABS(J148-L148)*I148*AD148*AE148)</f>
        <v/>
      </c>
      <c r="T148" s="29" t="str">
        <f>IF(OR(R148="",S148="",S148=0),"",R148/S148)</f>
        <v/>
      </c>
      <c r="U148" s="20" t="str">
        <f>IF(R148="","",IF(R148&gt;0,"Ganadora",IF(R148&lt;0,"Perdedora","BE")))</f>
        <v/>
      </c>
      <c r="V148" s="23" t="n"/>
      <c r="W148" s="23" t="n"/>
      <c r="X148" s="23" t="n"/>
      <c r="Y148" s="23" t="n"/>
      <c r="Z148" s="23" t="n"/>
      <c r="AA148" s="23" t="n"/>
      <c r="AB148" s="30" t="n"/>
      <c r="AC148" s="1" t="n"/>
      <c r="AD148" s="1" t="str">
        <f>IF(G148="","",IFERROR(INDEX('Listas'!$N$6:$N$35,MATCH(G148,'Listas'!$M$6:$M$35,0)),""))</f>
        <v/>
      </c>
      <c r="AE148">
        <f>IF(G148="",1,IFERROR(INDEX('Listas'!$P$6:$P$35,MATCH(G148,'Listas'!$M$6:$M$35,0)),1))</f>
        <v>1</v>
      </c>
      <c r="AF148">
        <f>IF(H148="Compra",1,IF(H148="Venta",-1,0))</f>
        <v>0</v>
      </c>
      <c r="AG148">
        <f>IF(AND(D148&lt;&gt;"",ISNUMBER(R148)),1,0)</f>
        <v>0</v>
      </c>
      <c r="AH148">
        <f>IF(AG148=0,0,IF(OR('Panel'!$D$5="Todas las cuentas",'Panel'!$D$5="",F148='Panel'!$D$5),1,0))</f>
        <v>0</v>
      </c>
      <c r="AI148">
        <f>IF(AH148=0,0,IF(AND(OR('Panel'!$G$5="",D148&gt;='Panel'!$G$5),OR('Panel'!$J$5="",D148&lt;='Panel'!$J$5)),1,0))</f>
        <v>0</v>
      </c>
      <c r="AJ148">
        <f>IF(AI148=1,R148,0)</f>
        <v>0</v>
      </c>
      <c r="AK148" t="str">
        <f>IF(AI148=1,'Panel'!$AB$4+SUM($AJ$5:AJ148),"")</f>
        <v/>
      </c>
      <c r="AL148">
        <f>IF(AI148=0,N(AL147),IF(R148&lt;0,N(AL147)+1,0))</f>
        <v>1</v>
      </c>
      <c r="AM148">
        <f>IF(AI148=0,N(AM147),IF(R148&gt;0,N(AM147)+1,0))</f>
        <v>0</v>
      </c>
      <c r="AN148">
        <f>IF(AI148=1,MAX('Panel'!$AB$4,N(AN147),AK148),N(AN147))</f>
        <v>21371.061500000033</v>
      </c>
      <c r="AO148">
        <f>IF(AI148=1,AN148-AK148,0)</f>
        <v>0</v>
      </c>
      <c r="AP148">
        <f>IF(AND(AI148=1,AN148&gt;0),AO148/AN148,0)</f>
        <v>0</v>
      </c>
      <c r="AQ148" t="str">
        <f>IF(AI148=1,SUM($AI$5:AI148),"")</f>
        <v/>
      </c>
      <c r="AR148" t="str">
        <f>IF(AI148=1,IF(COUNTIFS($D$5:D148,D148,$AI$5:AI148,1)=1,SUMIFS($AJ$5:$AJ$504,$D$5:$D$504,D148),""),"")</f>
        <v/>
      </c>
      <c r="AS148" t="str">
        <f>IF(AG148=1,WEEKDAY(D148,2),"")</f>
        <v/>
      </c>
      <c r="AT148" s="31" t="str">
        <f>IF(AG148=1,DATE(YEAR(D148),MONTH(D148),1),"")</f>
        <v/>
      </c>
      <c r="AU148">
        <f>IF(AG148=0,0,IF(AND(OR('Prop challenge'!$D$7="",F148='Prop challenge'!$D$7),OR('Prop challenge'!$D$9="",D148&gt;='Prop challenge'!$D$9)),1,0))</f>
        <v>0</v>
      </c>
      <c r="AV148">
        <f>IF(AU148=1,IF(COUNTIFS($D$5:D148,D148,$AU$5:AU148,1)=1,1,0),0)</f>
        <v>0</v>
      </c>
      <c r="AW148" t="str">
        <f>IF(AV148=1,SUM($AV$5:AV148),"")</f>
        <v/>
      </c>
      <c r="AX148" t="str">
        <f>IF(AV148=1,SUMIFS($R$5:$R$504,$D$5:$D$504,D148,$AU$5:$AU$504,1),"")</f>
        <v/>
      </c>
    </row>
    <row r="149">
      <c r="A149" s="20" t="str">
        <f>IF(AG149=1,ROW()-4,"")</f>
        <v/>
      </c>
      <c r="B149" s="21" t="n"/>
      <c r="C149" s="22" t="n"/>
      <c r="D149" s="21" t="n"/>
      <c r="E149" s="22" t="n"/>
      <c r="F149" s="23" t="n"/>
      <c r="G149" s="23" t="n"/>
      <c r="H149" s="23" t="n"/>
      <c r="I149" s="24" t="n"/>
      <c r="J149" s="25" t="n"/>
      <c r="K149" s="25" t="n"/>
      <c r="L149" s="25" t="n"/>
      <c r="M149" s="25" t="n"/>
      <c r="N149" s="26" t="n"/>
      <c r="O149" s="26" t="n"/>
      <c r="P149" s="27" t="str">
        <f>IF(OR(J149="",K149="",I149="",AF149=0,AD149=""),"",(K149-J149)*AF149*I149*AD149*AE149)</f>
        <v/>
      </c>
      <c r="Q149" s="26" t="n"/>
      <c r="R149" s="28" t="str">
        <f>IF(Q149&lt;&gt;"",Q149,IF(P149="","",P149-N(N149)+N(O149)))</f>
        <v/>
      </c>
      <c r="S149" s="27" t="str">
        <f>IF(OR(L149="",J149="",I149="",AD149=""),"",ABS(J149-L149)*I149*AD149*AE149)</f>
        <v/>
      </c>
      <c r="T149" s="29" t="str">
        <f>IF(OR(R149="",S149="",S149=0),"",R149/S149)</f>
        <v/>
      </c>
      <c r="U149" s="20" t="str">
        <f>IF(R149="","",IF(R149&gt;0,"Ganadora",IF(R149&lt;0,"Perdedora","BE")))</f>
        <v/>
      </c>
      <c r="V149" s="23" t="n"/>
      <c r="W149" s="23" t="n"/>
      <c r="X149" s="23" t="n"/>
      <c r="Y149" s="23" t="n"/>
      <c r="Z149" s="23" t="n"/>
      <c r="AA149" s="23" t="n"/>
      <c r="AB149" s="30" t="n"/>
      <c r="AC149" s="1" t="n"/>
      <c r="AD149" s="1" t="str">
        <f>IF(G149="","",IFERROR(INDEX('Listas'!$N$6:$N$35,MATCH(G149,'Listas'!$M$6:$M$35,0)),""))</f>
        <v/>
      </c>
      <c r="AE149">
        <f>IF(G149="",1,IFERROR(INDEX('Listas'!$P$6:$P$35,MATCH(G149,'Listas'!$M$6:$M$35,0)),1))</f>
        <v>1</v>
      </c>
      <c r="AF149">
        <f>IF(H149="Compra",1,IF(H149="Venta",-1,0))</f>
        <v>0</v>
      </c>
      <c r="AG149">
        <f>IF(AND(D149&lt;&gt;"",ISNUMBER(R149)),1,0)</f>
        <v>0</v>
      </c>
      <c r="AH149">
        <f>IF(AG149=0,0,IF(OR('Panel'!$D$5="Todas las cuentas",'Panel'!$D$5="",F149='Panel'!$D$5),1,0))</f>
        <v>0</v>
      </c>
      <c r="AI149">
        <f>IF(AH149=0,0,IF(AND(OR('Panel'!$G$5="",D149&gt;='Panel'!$G$5),OR('Panel'!$J$5="",D149&lt;='Panel'!$J$5)),1,0))</f>
        <v>0</v>
      </c>
      <c r="AJ149">
        <f>IF(AI149=1,R149,0)</f>
        <v>0</v>
      </c>
      <c r="AK149" t="str">
        <f>IF(AI149=1,'Panel'!$AB$4+SUM($AJ$5:AJ149),"")</f>
        <v/>
      </c>
      <c r="AL149">
        <f>IF(AI149=0,N(AL148),IF(R149&lt;0,N(AL148)+1,0))</f>
        <v>1</v>
      </c>
      <c r="AM149">
        <f>IF(AI149=0,N(AM148),IF(R149&gt;0,N(AM148)+1,0))</f>
        <v>0</v>
      </c>
      <c r="AN149">
        <f>IF(AI149=1,MAX('Panel'!$AB$4,N(AN148),AK149),N(AN148))</f>
        <v>21371.061500000033</v>
      </c>
      <c r="AO149">
        <f>IF(AI149=1,AN149-AK149,0)</f>
        <v>0</v>
      </c>
      <c r="AP149">
        <f>IF(AND(AI149=1,AN149&gt;0),AO149/AN149,0)</f>
        <v>0</v>
      </c>
      <c r="AQ149" t="str">
        <f>IF(AI149=1,SUM($AI$5:AI149),"")</f>
        <v/>
      </c>
      <c r="AR149" t="str">
        <f>IF(AI149=1,IF(COUNTIFS($D$5:D149,D149,$AI$5:AI149,1)=1,SUMIFS($AJ$5:$AJ$504,$D$5:$D$504,D149),""),"")</f>
        <v/>
      </c>
      <c r="AS149" t="str">
        <f>IF(AG149=1,WEEKDAY(D149,2),"")</f>
        <v/>
      </c>
      <c r="AT149" s="31" t="str">
        <f>IF(AG149=1,DATE(YEAR(D149),MONTH(D149),1),"")</f>
        <v/>
      </c>
      <c r="AU149">
        <f>IF(AG149=0,0,IF(AND(OR('Prop challenge'!$D$7="",F149='Prop challenge'!$D$7),OR('Prop challenge'!$D$9="",D149&gt;='Prop challenge'!$D$9)),1,0))</f>
        <v>0</v>
      </c>
      <c r="AV149">
        <f>IF(AU149=1,IF(COUNTIFS($D$5:D149,D149,$AU$5:AU149,1)=1,1,0),0)</f>
        <v>0</v>
      </c>
      <c r="AW149" t="str">
        <f>IF(AV149=1,SUM($AV$5:AV149),"")</f>
        <v/>
      </c>
      <c r="AX149" t="str">
        <f>IF(AV149=1,SUMIFS($R$5:$R$504,$D$5:$D$504,D149,$AU$5:$AU$504,1),"")</f>
        <v/>
      </c>
    </row>
    <row r="150">
      <c r="A150" s="20" t="str">
        <f>IF(AG150=1,ROW()-4,"")</f>
        <v/>
      </c>
      <c r="B150" s="21" t="n"/>
      <c r="C150" s="22" t="n"/>
      <c r="D150" s="21" t="n"/>
      <c r="E150" s="22" t="n"/>
      <c r="F150" s="23" t="n"/>
      <c r="G150" s="23" t="n"/>
      <c r="H150" s="23" t="n"/>
      <c r="I150" s="24" t="n"/>
      <c r="J150" s="25" t="n"/>
      <c r="K150" s="25" t="n"/>
      <c r="L150" s="25" t="n"/>
      <c r="M150" s="25" t="n"/>
      <c r="N150" s="26" t="n"/>
      <c r="O150" s="26" t="n"/>
      <c r="P150" s="27" t="str">
        <f>IF(OR(J150="",K150="",I150="",AF150=0,AD150=""),"",(K150-J150)*AF150*I150*AD150*AE150)</f>
        <v/>
      </c>
      <c r="Q150" s="26" t="n"/>
      <c r="R150" s="28" t="str">
        <f>IF(Q150&lt;&gt;"",Q150,IF(P150="","",P150-N(N150)+N(O150)))</f>
        <v/>
      </c>
      <c r="S150" s="27" t="str">
        <f>IF(OR(L150="",J150="",I150="",AD150=""),"",ABS(J150-L150)*I150*AD150*AE150)</f>
        <v/>
      </c>
      <c r="T150" s="29" t="str">
        <f>IF(OR(R150="",S150="",S150=0),"",R150/S150)</f>
        <v/>
      </c>
      <c r="U150" s="20" t="str">
        <f>IF(R150="","",IF(R150&gt;0,"Ganadora",IF(R150&lt;0,"Perdedora","BE")))</f>
        <v/>
      </c>
      <c r="V150" s="23" t="n"/>
      <c r="W150" s="23" t="n"/>
      <c r="X150" s="23" t="n"/>
      <c r="Y150" s="23" t="n"/>
      <c r="Z150" s="23" t="n"/>
      <c r="AA150" s="23" t="n"/>
      <c r="AB150" s="30" t="n"/>
      <c r="AC150" s="1" t="n"/>
      <c r="AD150" s="1" t="str">
        <f>IF(G150="","",IFERROR(INDEX('Listas'!$N$6:$N$35,MATCH(G150,'Listas'!$M$6:$M$35,0)),""))</f>
        <v/>
      </c>
      <c r="AE150">
        <f>IF(G150="",1,IFERROR(INDEX('Listas'!$P$6:$P$35,MATCH(G150,'Listas'!$M$6:$M$35,0)),1))</f>
        <v>1</v>
      </c>
      <c r="AF150">
        <f>IF(H150="Compra",1,IF(H150="Venta",-1,0))</f>
        <v>0</v>
      </c>
      <c r="AG150">
        <f>IF(AND(D150&lt;&gt;"",ISNUMBER(R150)),1,0)</f>
        <v>0</v>
      </c>
      <c r="AH150">
        <f>IF(AG150=0,0,IF(OR('Panel'!$D$5="Todas las cuentas",'Panel'!$D$5="",F150='Panel'!$D$5),1,0))</f>
        <v>0</v>
      </c>
      <c r="AI150">
        <f>IF(AH150=0,0,IF(AND(OR('Panel'!$G$5="",D150&gt;='Panel'!$G$5),OR('Panel'!$J$5="",D150&lt;='Panel'!$J$5)),1,0))</f>
        <v>0</v>
      </c>
      <c r="AJ150">
        <f>IF(AI150=1,R150,0)</f>
        <v>0</v>
      </c>
      <c r="AK150" t="str">
        <f>IF(AI150=1,'Panel'!$AB$4+SUM($AJ$5:AJ150),"")</f>
        <v/>
      </c>
      <c r="AL150">
        <f>IF(AI150=0,N(AL149),IF(R150&lt;0,N(AL149)+1,0))</f>
        <v>1</v>
      </c>
      <c r="AM150">
        <f>IF(AI150=0,N(AM149),IF(R150&gt;0,N(AM149)+1,0))</f>
        <v>0</v>
      </c>
      <c r="AN150">
        <f>IF(AI150=1,MAX('Panel'!$AB$4,N(AN149),AK150),N(AN149))</f>
        <v>21371.061500000033</v>
      </c>
      <c r="AO150">
        <f>IF(AI150=1,AN150-AK150,0)</f>
        <v>0</v>
      </c>
      <c r="AP150">
        <f>IF(AND(AI150=1,AN150&gt;0),AO150/AN150,0)</f>
        <v>0</v>
      </c>
      <c r="AQ150" t="str">
        <f>IF(AI150=1,SUM($AI$5:AI150),"")</f>
        <v/>
      </c>
      <c r="AR150" t="str">
        <f>IF(AI150=1,IF(COUNTIFS($D$5:D150,D150,$AI$5:AI150,1)=1,SUMIFS($AJ$5:$AJ$504,$D$5:$D$504,D150),""),"")</f>
        <v/>
      </c>
      <c r="AS150" t="str">
        <f>IF(AG150=1,WEEKDAY(D150,2),"")</f>
        <v/>
      </c>
      <c r="AT150" s="31" t="str">
        <f>IF(AG150=1,DATE(YEAR(D150),MONTH(D150),1),"")</f>
        <v/>
      </c>
      <c r="AU150">
        <f>IF(AG150=0,0,IF(AND(OR('Prop challenge'!$D$7="",F150='Prop challenge'!$D$7),OR('Prop challenge'!$D$9="",D150&gt;='Prop challenge'!$D$9)),1,0))</f>
        <v>0</v>
      </c>
      <c r="AV150">
        <f>IF(AU150=1,IF(COUNTIFS($D$5:D150,D150,$AU$5:AU150,1)=1,1,0),0)</f>
        <v>0</v>
      </c>
      <c r="AW150" t="str">
        <f>IF(AV150=1,SUM($AV$5:AV150),"")</f>
        <v/>
      </c>
      <c r="AX150" t="str">
        <f>IF(AV150=1,SUMIFS($R$5:$R$504,$D$5:$D$504,D150,$AU$5:$AU$504,1),"")</f>
        <v/>
      </c>
    </row>
    <row r="151">
      <c r="A151" s="20" t="str">
        <f>IF(AG151=1,ROW()-4,"")</f>
        <v/>
      </c>
      <c r="B151" s="21" t="n"/>
      <c r="C151" s="22" t="n"/>
      <c r="D151" s="21" t="n"/>
      <c r="E151" s="22" t="n"/>
      <c r="F151" s="23" t="n"/>
      <c r="G151" s="23" t="n"/>
      <c r="H151" s="23" t="n"/>
      <c r="I151" s="24" t="n"/>
      <c r="J151" s="25" t="n"/>
      <c r="K151" s="25" t="n"/>
      <c r="L151" s="25" t="n"/>
      <c r="M151" s="25" t="n"/>
      <c r="N151" s="26" t="n"/>
      <c r="O151" s="26" t="n"/>
      <c r="P151" s="27" t="str">
        <f>IF(OR(J151="",K151="",I151="",AF151=0,AD151=""),"",(K151-J151)*AF151*I151*AD151*AE151)</f>
        <v/>
      </c>
      <c r="Q151" s="26" t="n"/>
      <c r="R151" s="28" t="str">
        <f>IF(Q151&lt;&gt;"",Q151,IF(P151="","",P151-N(N151)+N(O151)))</f>
        <v/>
      </c>
      <c r="S151" s="27" t="str">
        <f>IF(OR(L151="",J151="",I151="",AD151=""),"",ABS(J151-L151)*I151*AD151*AE151)</f>
        <v/>
      </c>
      <c r="T151" s="29" t="str">
        <f>IF(OR(R151="",S151="",S151=0),"",R151/S151)</f>
        <v/>
      </c>
      <c r="U151" s="20" t="str">
        <f>IF(R151="","",IF(R151&gt;0,"Ganadora",IF(R151&lt;0,"Perdedora","BE")))</f>
        <v/>
      </c>
      <c r="V151" s="23" t="n"/>
      <c r="W151" s="23" t="n"/>
      <c r="X151" s="23" t="n"/>
      <c r="Y151" s="23" t="n"/>
      <c r="Z151" s="23" t="n"/>
      <c r="AA151" s="23" t="n"/>
      <c r="AB151" s="30" t="n"/>
      <c r="AC151" s="1" t="n"/>
      <c r="AD151" s="1" t="str">
        <f>IF(G151="","",IFERROR(INDEX('Listas'!$N$6:$N$35,MATCH(G151,'Listas'!$M$6:$M$35,0)),""))</f>
        <v/>
      </c>
      <c r="AE151">
        <f>IF(G151="",1,IFERROR(INDEX('Listas'!$P$6:$P$35,MATCH(G151,'Listas'!$M$6:$M$35,0)),1))</f>
        <v>1</v>
      </c>
      <c r="AF151">
        <f>IF(H151="Compra",1,IF(H151="Venta",-1,0))</f>
        <v>0</v>
      </c>
      <c r="AG151">
        <f>IF(AND(D151&lt;&gt;"",ISNUMBER(R151)),1,0)</f>
        <v>0</v>
      </c>
      <c r="AH151">
        <f>IF(AG151=0,0,IF(OR('Panel'!$D$5="Todas las cuentas",'Panel'!$D$5="",F151='Panel'!$D$5),1,0))</f>
        <v>0</v>
      </c>
      <c r="AI151">
        <f>IF(AH151=0,0,IF(AND(OR('Panel'!$G$5="",D151&gt;='Panel'!$G$5),OR('Panel'!$J$5="",D151&lt;='Panel'!$J$5)),1,0))</f>
        <v>0</v>
      </c>
      <c r="AJ151">
        <f>IF(AI151=1,R151,0)</f>
        <v>0</v>
      </c>
      <c r="AK151" t="str">
        <f>IF(AI151=1,'Panel'!$AB$4+SUM($AJ$5:AJ151),"")</f>
        <v/>
      </c>
      <c r="AL151">
        <f>IF(AI151=0,N(AL150),IF(R151&lt;0,N(AL150)+1,0))</f>
        <v>1</v>
      </c>
      <c r="AM151">
        <f>IF(AI151=0,N(AM150),IF(R151&gt;0,N(AM150)+1,0))</f>
        <v>0</v>
      </c>
      <c r="AN151">
        <f>IF(AI151=1,MAX('Panel'!$AB$4,N(AN150),AK151),N(AN150))</f>
        <v>21371.061500000033</v>
      </c>
      <c r="AO151">
        <f>IF(AI151=1,AN151-AK151,0)</f>
        <v>0</v>
      </c>
      <c r="AP151">
        <f>IF(AND(AI151=1,AN151&gt;0),AO151/AN151,0)</f>
        <v>0</v>
      </c>
      <c r="AQ151" t="str">
        <f>IF(AI151=1,SUM($AI$5:AI151),"")</f>
        <v/>
      </c>
      <c r="AR151" t="str">
        <f>IF(AI151=1,IF(COUNTIFS($D$5:D151,D151,$AI$5:AI151,1)=1,SUMIFS($AJ$5:$AJ$504,$D$5:$D$504,D151),""),"")</f>
        <v/>
      </c>
      <c r="AS151" t="str">
        <f>IF(AG151=1,WEEKDAY(D151,2),"")</f>
        <v/>
      </c>
      <c r="AT151" s="31" t="str">
        <f>IF(AG151=1,DATE(YEAR(D151),MONTH(D151),1),"")</f>
        <v/>
      </c>
      <c r="AU151">
        <f>IF(AG151=0,0,IF(AND(OR('Prop challenge'!$D$7="",F151='Prop challenge'!$D$7),OR('Prop challenge'!$D$9="",D151&gt;='Prop challenge'!$D$9)),1,0))</f>
        <v>0</v>
      </c>
      <c r="AV151">
        <f>IF(AU151=1,IF(COUNTIFS($D$5:D151,D151,$AU$5:AU151,1)=1,1,0),0)</f>
        <v>0</v>
      </c>
      <c r="AW151" t="str">
        <f>IF(AV151=1,SUM($AV$5:AV151),"")</f>
        <v/>
      </c>
      <c r="AX151" t="str">
        <f>IF(AV151=1,SUMIFS($R$5:$R$504,$D$5:$D$504,D151,$AU$5:$AU$504,1),"")</f>
        <v/>
      </c>
    </row>
    <row r="152">
      <c r="A152" s="20" t="str">
        <f>IF(AG152=1,ROW()-4,"")</f>
        <v/>
      </c>
      <c r="B152" s="21" t="n"/>
      <c r="C152" s="22" t="n"/>
      <c r="D152" s="21" t="n"/>
      <c r="E152" s="22" t="n"/>
      <c r="F152" s="23" t="n"/>
      <c r="G152" s="23" t="n"/>
      <c r="H152" s="23" t="n"/>
      <c r="I152" s="24" t="n"/>
      <c r="J152" s="25" t="n"/>
      <c r="K152" s="25" t="n"/>
      <c r="L152" s="25" t="n"/>
      <c r="M152" s="25" t="n"/>
      <c r="N152" s="26" t="n"/>
      <c r="O152" s="26" t="n"/>
      <c r="P152" s="27" t="str">
        <f>IF(OR(J152="",K152="",I152="",AF152=0,AD152=""),"",(K152-J152)*AF152*I152*AD152*AE152)</f>
        <v/>
      </c>
      <c r="Q152" s="26" t="n"/>
      <c r="R152" s="28" t="str">
        <f>IF(Q152&lt;&gt;"",Q152,IF(P152="","",P152-N(N152)+N(O152)))</f>
        <v/>
      </c>
      <c r="S152" s="27" t="str">
        <f>IF(OR(L152="",J152="",I152="",AD152=""),"",ABS(J152-L152)*I152*AD152*AE152)</f>
        <v/>
      </c>
      <c r="T152" s="29" t="str">
        <f>IF(OR(R152="",S152="",S152=0),"",R152/S152)</f>
        <v/>
      </c>
      <c r="U152" s="20" t="str">
        <f>IF(R152="","",IF(R152&gt;0,"Ganadora",IF(R152&lt;0,"Perdedora","BE")))</f>
        <v/>
      </c>
      <c r="V152" s="23" t="n"/>
      <c r="W152" s="23" t="n"/>
      <c r="X152" s="23" t="n"/>
      <c r="Y152" s="23" t="n"/>
      <c r="Z152" s="23" t="n"/>
      <c r="AA152" s="23" t="n"/>
      <c r="AB152" s="30" t="n"/>
      <c r="AC152" s="1" t="n"/>
      <c r="AD152" s="1" t="str">
        <f>IF(G152="","",IFERROR(INDEX('Listas'!$N$6:$N$35,MATCH(G152,'Listas'!$M$6:$M$35,0)),""))</f>
        <v/>
      </c>
      <c r="AE152">
        <f>IF(G152="",1,IFERROR(INDEX('Listas'!$P$6:$P$35,MATCH(G152,'Listas'!$M$6:$M$35,0)),1))</f>
        <v>1</v>
      </c>
      <c r="AF152">
        <f>IF(H152="Compra",1,IF(H152="Venta",-1,0))</f>
        <v>0</v>
      </c>
      <c r="AG152">
        <f>IF(AND(D152&lt;&gt;"",ISNUMBER(R152)),1,0)</f>
        <v>0</v>
      </c>
      <c r="AH152">
        <f>IF(AG152=0,0,IF(OR('Panel'!$D$5="Todas las cuentas",'Panel'!$D$5="",F152='Panel'!$D$5),1,0))</f>
        <v>0</v>
      </c>
      <c r="AI152">
        <f>IF(AH152=0,0,IF(AND(OR('Panel'!$G$5="",D152&gt;='Panel'!$G$5),OR('Panel'!$J$5="",D152&lt;='Panel'!$J$5)),1,0))</f>
        <v>0</v>
      </c>
      <c r="AJ152">
        <f>IF(AI152=1,R152,0)</f>
        <v>0</v>
      </c>
      <c r="AK152" t="str">
        <f>IF(AI152=1,'Panel'!$AB$4+SUM($AJ$5:AJ152),"")</f>
        <v/>
      </c>
      <c r="AL152">
        <f>IF(AI152=0,N(AL151),IF(R152&lt;0,N(AL151)+1,0))</f>
        <v>1</v>
      </c>
      <c r="AM152">
        <f>IF(AI152=0,N(AM151),IF(R152&gt;0,N(AM151)+1,0))</f>
        <v>0</v>
      </c>
      <c r="AN152">
        <f>IF(AI152=1,MAX('Panel'!$AB$4,N(AN151),AK152),N(AN151))</f>
        <v>21371.061500000033</v>
      </c>
      <c r="AO152">
        <f>IF(AI152=1,AN152-AK152,0)</f>
        <v>0</v>
      </c>
      <c r="AP152">
        <f>IF(AND(AI152=1,AN152&gt;0),AO152/AN152,0)</f>
        <v>0</v>
      </c>
      <c r="AQ152" t="str">
        <f>IF(AI152=1,SUM($AI$5:AI152),"")</f>
        <v/>
      </c>
      <c r="AR152" t="str">
        <f>IF(AI152=1,IF(COUNTIFS($D$5:D152,D152,$AI$5:AI152,1)=1,SUMIFS($AJ$5:$AJ$504,$D$5:$D$504,D152),""),"")</f>
        <v/>
      </c>
      <c r="AS152" t="str">
        <f>IF(AG152=1,WEEKDAY(D152,2),"")</f>
        <v/>
      </c>
      <c r="AT152" s="31" t="str">
        <f>IF(AG152=1,DATE(YEAR(D152),MONTH(D152),1),"")</f>
        <v/>
      </c>
      <c r="AU152">
        <f>IF(AG152=0,0,IF(AND(OR('Prop challenge'!$D$7="",F152='Prop challenge'!$D$7),OR('Prop challenge'!$D$9="",D152&gt;='Prop challenge'!$D$9)),1,0))</f>
        <v>0</v>
      </c>
      <c r="AV152">
        <f>IF(AU152=1,IF(COUNTIFS($D$5:D152,D152,$AU$5:AU152,1)=1,1,0),0)</f>
        <v>0</v>
      </c>
      <c r="AW152" t="str">
        <f>IF(AV152=1,SUM($AV$5:AV152),"")</f>
        <v/>
      </c>
      <c r="AX152" t="str">
        <f>IF(AV152=1,SUMIFS($R$5:$R$504,$D$5:$D$504,D152,$AU$5:$AU$504,1),"")</f>
        <v/>
      </c>
    </row>
    <row r="153">
      <c r="A153" s="20" t="str">
        <f>IF(AG153=1,ROW()-4,"")</f>
        <v/>
      </c>
      <c r="B153" s="21" t="n"/>
      <c r="C153" s="22" t="n"/>
      <c r="D153" s="21" t="n"/>
      <c r="E153" s="22" t="n"/>
      <c r="F153" s="23" t="n"/>
      <c r="G153" s="23" t="n"/>
      <c r="H153" s="23" t="n"/>
      <c r="I153" s="24" t="n"/>
      <c r="J153" s="25" t="n"/>
      <c r="K153" s="25" t="n"/>
      <c r="L153" s="25" t="n"/>
      <c r="M153" s="25" t="n"/>
      <c r="N153" s="26" t="n"/>
      <c r="O153" s="26" t="n"/>
      <c r="P153" s="27" t="str">
        <f>IF(OR(J153="",K153="",I153="",AF153=0,AD153=""),"",(K153-J153)*AF153*I153*AD153*AE153)</f>
        <v/>
      </c>
      <c r="Q153" s="26" t="n"/>
      <c r="R153" s="28" t="str">
        <f>IF(Q153&lt;&gt;"",Q153,IF(P153="","",P153-N(N153)+N(O153)))</f>
        <v/>
      </c>
      <c r="S153" s="27" t="str">
        <f>IF(OR(L153="",J153="",I153="",AD153=""),"",ABS(J153-L153)*I153*AD153*AE153)</f>
        <v/>
      </c>
      <c r="T153" s="29" t="str">
        <f>IF(OR(R153="",S153="",S153=0),"",R153/S153)</f>
        <v/>
      </c>
      <c r="U153" s="20" t="str">
        <f>IF(R153="","",IF(R153&gt;0,"Ganadora",IF(R153&lt;0,"Perdedora","BE")))</f>
        <v/>
      </c>
      <c r="V153" s="23" t="n"/>
      <c r="W153" s="23" t="n"/>
      <c r="X153" s="23" t="n"/>
      <c r="Y153" s="23" t="n"/>
      <c r="Z153" s="23" t="n"/>
      <c r="AA153" s="23" t="n"/>
      <c r="AB153" s="30" t="n"/>
      <c r="AC153" s="1" t="n"/>
      <c r="AD153" s="1" t="str">
        <f>IF(G153="","",IFERROR(INDEX('Listas'!$N$6:$N$35,MATCH(G153,'Listas'!$M$6:$M$35,0)),""))</f>
        <v/>
      </c>
      <c r="AE153">
        <f>IF(G153="",1,IFERROR(INDEX('Listas'!$P$6:$P$35,MATCH(G153,'Listas'!$M$6:$M$35,0)),1))</f>
        <v>1</v>
      </c>
      <c r="AF153">
        <f>IF(H153="Compra",1,IF(H153="Venta",-1,0))</f>
        <v>0</v>
      </c>
      <c r="AG153">
        <f>IF(AND(D153&lt;&gt;"",ISNUMBER(R153)),1,0)</f>
        <v>0</v>
      </c>
      <c r="AH153">
        <f>IF(AG153=0,0,IF(OR('Panel'!$D$5="Todas las cuentas",'Panel'!$D$5="",F153='Panel'!$D$5),1,0))</f>
        <v>0</v>
      </c>
      <c r="AI153">
        <f>IF(AH153=0,0,IF(AND(OR('Panel'!$G$5="",D153&gt;='Panel'!$G$5),OR('Panel'!$J$5="",D153&lt;='Panel'!$J$5)),1,0))</f>
        <v>0</v>
      </c>
      <c r="AJ153">
        <f>IF(AI153=1,R153,0)</f>
        <v>0</v>
      </c>
      <c r="AK153" t="str">
        <f>IF(AI153=1,'Panel'!$AB$4+SUM($AJ$5:AJ153),"")</f>
        <v/>
      </c>
      <c r="AL153">
        <f>IF(AI153=0,N(AL152),IF(R153&lt;0,N(AL152)+1,0))</f>
        <v>1</v>
      </c>
      <c r="AM153">
        <f>IF(AI153=0,N(AM152),IF(R153&gt;0,N(AM152)+1,0))</f>
        <v>0</v>
      </c>
      <c r="AN153">
        <f>IF(AI153=1,MAX('Panel'!$AB$4,N(AN152),AK153),N(AN152))</f>
        <v>21371.061500000033</v>
      </c>
      <c r="AO153">
        <f>IF(AI153=1,AN153-AK153,0)</f>
        <v>0</v>
      </c>
      <c r="AP153">
        <f>IF(AND(AI153=1,AN153&gt;0),AO153/AN153,0)</f>
        <v>0</v>
      </c>
      <c r="AQ153" t="str">
        <f>IF(AI153=1,SUM($AI$5:AI153),"")</f>
        <v/>
      </c>
      <c r="AR153" t="str">
        <f>IF(AI153=1,IF(COUNTIFS($D$5:D153,D153,$AI$5:AI153,1)=1,SUMIFS($AJ$5:$AJ$504,$D$5:$D$504,D153),""),"")</f>
        <v/>
      </c>
      <c r="AS153" t="str">
        <f>IF(AG153=1,WEEKDAY(D153,2),"")</f>
        <v/>
      </c>
      <c r="AT153" s="31" t="str">
        <f>IF(AG153=1,DATE(YEAR(D153),MONTH(D153),1),"")</f>
        <v/>
      </c>
      <c r="AU153">
        <f>IF(AG153=0,0,IF(AND(OR('Prop challenge'!$D$7="",F153='Prop challenge'!$D$7),OR('Prop challenge'!$D$9="",D153&gt;='Prop challenge'!$D$9)),1,0))</f>
        <v>0</v>
      </c>
      <c r="AV153">
        <f>IF(AU153=1,IF(COUNTIFS($D$5:D153,D153,$AU$5:AU153,1)=1,1,0),0)</f>
        <v>0</v>
      </c>
      <c r="AW153" t="str">
        <f>IF(AV153=1,SUM($AV$5:AV153),"")</f>
        <v/>
      </c>
      <c r="AX153" t="str">
        <f>IF(AV153=1,SUMIFS($R$5:$R$504,$D$5:$D$504,D153,$AU$5:$AU$504,1),"")</f>
        <v/>
      </c>
    </row>
    <row r="154">
      <c r="A154" s="20" t="str">
        <f>IF(AG154=1,ROW()-4,"")</f>
        <v/>
      </c>
      <c r="B154" s="21" t="n"/>
      <c r="C154" s="22" t="n"/>
      <c r="D154" s="21" t="n"/>
      <c r="E154" s="22" t="n"/>
      <c r="F154" s="23" t="n"/>
      <c r="G154" s="23" t="n"/>
      <c r="H154" s="23" t="n"/>
      <c r="I154" s="24" t="n"/>
      <c r="J154" s="25" t="n"/>
      <c r="K154" s="25" t="n"/>
      <c r="L154" s="25" t="n"/>
      <c r="M154" s="25" t="n"/>
      <c r="N154" s="26" t="n"/>
      <c r="O154" s="26" t="n"/>
      <c r="P154" s="27" t="str">
        <f>IF(OR(J154="",K154="",I154="",AF154=0,AD154=""),"",(K154-J154)*AF154*I154*AD154*AE154)</f>
        <v/>
      </c>
      <c r="Q154" s="26" t="n"/>
      <c r="R154" s="28" t="str">
        <f>IF(Q154&lt;&gt;"",Q154,IF(P154="","",P154-N(N154)+N(O154)))</f>
        <v/>
      </c>
      <c r="S154" s="27" t="str">
        <f>IF(OR(L154="",J154="",I154="",AD154=""),"",ABS(J154-L154)*I154*AD154*AE154)</f>
        <v/>
      </c>
      <c r="T154" s="29" t="str">
        <f>IF(OR(R154="",S154="",S154=0),"",R154/S154)</f>
        <v/>
      </c>
      <c r="U154" s="20" t="str">
        <f>IF(R154="","",IF(R154&gt;0,"Ganadora",IF(R154&lt;0,"Perdedora","BE")))</f>
        <v/>
      </c>
      <c r="V154" s="23" t="n"/>
      <c r="W154" s="23" t="n"/>
      <c r="X154" s="23" t="n"/>
      <c r="Y154" s="23" t="n"/>
      <c r="Z154" s="23" t="n"/>
      <c r="AA154" s="23" t="n"/>
      <c r="AB154" s="30" t="n"/>
      <c r="AC154" s="1" t="n"/>
      <c r="AD154" s="1" t="str">
        <f>IF(G154="","",IFERROR(INDEX('Listas'!$N$6:$N$35,MATCH(G154,'Listas'!$M$6:$M$35,0)),""))</f>
        <v/>
      </c>
      <c r="AE154">
        <f>IF(G154="",1,IFERROR(INDEX('Listas'!$P$6:$P$35,MATCH(G154,'Listas'!$M$6:$M$35,0)),1))</f>
        <v>1</v>
      </c>
      <c r="AF154">
        <f>IF(H154="Compra",1,IF(H154="Venta",-1,0))</f>
        <v>0</v>
      </c>
      <c r="AG154">
        <f>IF(AND(D154&lt;&gt;"",ISNUMBER(R154)),1,0)</f>
        <v>0</v>
      </c>
      <c r="AH154">
        <f>IF(AG154=0,0,IF(OR('Panel'!$D$5="Todas las cuentas",'Panel'!$D$5="",F154='Panel'!$D$5),1,0))</f>
        <v>0</v>
      </c>
      <c r="AI154">
        <f>IF(AH154=0,0,IF(AND(OR('Panel'!$G$5="",D154&gt;='Panel'!$G$5),OR('Panel'!$J$5="",D154&lt;='Panel'!$J$5)),1,0))</f>
        <v>0</v>
      </c>
      <c r="AJ154">
        <f>IF(AI154=1,R154,0)</f>
        <v>0</v>
      </c>
      <c r="AK154" t="str">
        <f>IF(AI154=1,'Panel'!$AB$4+SUM($AJ$5:AJ154),"")</f>
        <v/>
      </c>
      <c r="AL154">
        <f>IF(AI154=0,N(AL153),IF(R154&lt;0,N(AL153)+1,0))</f>
        <v>1</v>
      </c>
      <c r="AM154">
        <f>IF(AI154=0,N(AM153),IF(R154&gt;0,N(AM153)+1,0))</f>
        <v>0</v>
      </c>
      <c r="AN154">
        <f>IF(AI154=1,MAX('Panel'!$AB$4,N(AN153),AK154),N(AN153))</f>
        <v>21371.061500000033</v>
      </c>
      <c r="AO154">
        <f>IF(AI154=1,AN154-AK154,0)</f>
        <v>0</v>
      </c>
      <c r="AP154">
        <f>IF(AND(AI154=1,AN154&gt;0),AO154/AN154,0)</f>
        <v>0</v>
      </c>
      <c r="AQ154" t="str">
        <f>IF(AI154=1,SUM($AI$5:AI154),"")</f>
        <v/>
      </c>
      <c r="AR154" t="str">
        <f>IF(AI154=1,IF(COUNTIFS($D$5:D154,D154,$AI$5:AI154,1)=1,SUMIFS($AJ$5:$AJ$504,$D$5:$D$504,D154),""),"")</f>
        <v/>
      </c>
      <c r="AS154" t="str">
        <f>IF(AG154=1,WEEKDAY(D154,2),"")</f>
        <v/>
      </c>
      <c r="AT154" s="31" t="str">
        <f>IF(AG154=1,DATE(YEAR(D154),MONTH(D154),1),"")</f>
        <v/>
      </c>
      <c r="AU154">
        <f>IF(AG154=0,0,IF(AND(OR('Prop challenge'!$D$7="",F154='Prop challenge'!$D$7),OR('Prop challenge'!$D$9="",D154&gt;='Prop challenge'!$D$9)),1,0))</f>
        <v>0</v>
      </c>
      <c r="AV154">
        <f>IF(AU154=1,IF(COUNTIFS($D$5:D154,D154,$AU$5:AU154,1)=1,1,0),0)</f>
        <v>0</v>
      </c>
      <c r="AW154" t="str">
        <f>IF(AV154=1,SUM($AV$5:AV154),"")</f>
        <v/>
      </c>
      <c r="AX154" t="str">
        <f>IF(AV154=1,SUMIFS($R$5:$R$504,$D$5:$D$504,D154,$AU$5:$AU$504,1),"")</f>
        <v/>
      </c>
    </row>
    <row r="155">
      <c r="A155" s="20" t="str">
        <f>IF(AG155=1,ROW()-4,"")</f>
        <v/>
      </c>
      <c r="B155" s="21" t="n"/>
      <c r="C155" s="22" t="n"/>
      <c r="D155" s="21" t="n"/>
      <c r="E155" s="22" t="n"/>
      <c r="F155" s="23" t="n"/>
      <c r="G155" s="23" t="n"/>
      <c r="H155" s="23" t="n"/>
      <c r="I155" s="24" t="n"/>
      <c r="J155" s="25" t="n"/>
      <c r="K155" s="25" t="n"/>
      <c r="L155" s="25" t="n"/>
      <c r="M155" s="25" t="n"/>
      <c r="N155" s="26" t="n"/>
      <c r="O155" s="26" t="n"/>
      <c r="P155" s="27" t="str">
        <f>IF(OR(J155="",K155="",I155="",AF155=0,AD155=""),"",(K155-J155)*AF155*I155*AD155*AE155)</f>
        <v/>
      </c>
      <c r="Q155" s="26" t="n"/>
      <c r="R155" s="28" t="str">
        <f>IF(Q155&lt;&gt;"",Q155,IF(P155="","",P155-N(N155)+N(O155)))</f>
        <v/>
      </c>
      <c r="S155" s="27" t="str">
        <f>IF(OR(L155="",J155="",I155="",AD155=""),"",ABS(J155-L155)*I155*AD155*AE155)</f>
        <v/>
      </c>
      <c r="T155" s="29" t="str">
        <f>IF(OR(R155="",S155="",S155=0),"",R155/S155)</f>
        <v/>
      </c>
      <c r="U155" s="20" t="str">
        <f>IF(R155="","",IF(R155&gt;0,"Ganadora",IF(R155&lt;0,"Perdedora","BE")))</f>
        <v/>
      </c>
      <c r="V155" s="23" t="n"/>
      <c r="W155" s="23" t="n"/>
      <c r="X155" s="23" t="n"/>
      <c r="Y155" s="23" t="n"/>
      <c r="Z155" s="23" t="n"/>
      <c r="AA155" s="23" t="n"/>
      <c r="AB155" s="30" t="n"/>
      <c r="AC155" s="1" t="n"/>
      <c r="AD155" s="1" t="str">
        <f>IF(G155="","",IFERROR(INDEX('Listas'!$N$6:$N$35,MATCH(G155,'Listas'!$M$6:$M$35,0)),""))</f>
        <v/>
      </c>
      <c r="AE155">
        <f>IF(G155="",1,IFERROR(INDEX('Listas'!$P$6:$P$35,MATCH(G155,'Listas'!$M$6:$M$35,0)),1))</f>
        <v>1</v>
      </c>
      <c r="AF155">
        <f>IF(H155="Compra",1,IF(H155="Venta",-1,0))</f>
        <v>0</v>
      </c>
      <c r="AG155">
        <f>IF(AND(D155&lt;&gt;"",ISNUMBER(R155)),1,0)</f>
        <v>0</v>
      </c>
      <c r="AH155">
        <f>IF(AG155=0,0,IF(OR('Panel'!$D$5="Todas las cuentas",'Panel'!$D$5="",F155='Panel'!$D$5),1,0))</f>
        <v>0</v>
      </c>
      <c r="AI155">
        <f>IF(AH155=0,0,IF(AND(OR('Panel'!$G$5="",D155&gt;='Panel'!$G$5),OR('Panel'!$J$5="",D155&lt;='Panel'!$J$5)),1,0))</f>
        <v>0</v>
      </c>
      <c r="AJ155">
        <f>IF(AI155=1,R155,0)</f>
        <v>0</v>
      </c>
      <c r="AK155" t="str">
        <f>IF(AI155=1,'Panel'!$AB$4+SUM($AJ$5:AJ155),"")</f>
        <v/>
      </c>
      <c r="AL155">
        <f>IF(AI155=0,N(AL154),IF(R155&lt;0,N(AL154)+1,0))</f>
        <v>1</v>
      </c>
      <c r="AM155">
        <f>IF(AI155=0,N(AM154),IF(R155&gt;0,N(AM154)+1,0))</f>
        <v>0</v>
      </c>
      <c r="AN155">
        <f>IF(AI155=1,MAX('Panel'!$AB$4,N(AN154),AK155),N(AN154))</f>
        <v>21371.061500000033</v>
      </c>
      <c r="AO155">
        <f>IF(AI155=1,AN155-AK155,0)</f>
        <v>0</v>
      </c>
      <c r="AP155">
        <f>IF(AND(AI155=1,AN155&gt;0),AO155/AN155,0)</f>
        <v>0</v>
      </c>
      <c r="AQ155" t="str">
        <f>IF(AI155=1,SUM($AI$5:AI155),"")</f>
        <v/>
      </c>
      <c r="AR155" t="str">
        <f>IF(AI155=1,IF(COUNTIFS($D$5:D155,D155,$AI$5:AI155,1)=1,SUMIFS($AJ$5:$AJ$504,$D$5:$D$504,D155),""),"")</f>
        <v/>
      </c>
      <c r="AS155" t="str">
        <f>IF(AG155=1,WEEKDAY(D155,2),"")</f>
        <v/>
      </c>
      <c r="AT155" s="31" t="str">
        <f>IF(AG155=1,DATE(YEAR(D155),MONTH(D155),1),"")</f>
        <v/>
      </c>
      <c r="AU155">
        <f>IF(AG155=0,0,IF(AND(OR('Prop challenge'!$D$7="",F155='Prop challenge'!$D$7),OR('Prop challenge'!$D$9="",D155&gt;='Prop challenge'!$D$9)),1,0))</f>
        <v>0</v>
      </c>
      <c r="AV155">
        <f>IF(AU155=1,IF(COUNTIFS($D$5:D155,D155,$AU$5:AU155,1)=1,1,0),0)</f>
        <v>0</v>
      </c>
      <c r="AW155" t="str">
        <f>IF(AV155=1,SUM($AV$5:AV155),"")</f>
        <v/>
      </c>
      <c r="AX155" t="str">
        <f>IF(AV155=1,SUMIFS($R$5:$R$504,$D$5:$D$504,D155,$AU$5:$AU$504,1),"")</f>
        <v/>
      </c>
    </row>
    <row r="156">
      <c r="A156" s="20" t="str">
        <f>IF(AG156=1,ROW()-4,"")</f>
        <v/>
      </c>
      <c r="B156" s="21" t="n"/>
      <c r="C156" s="22" t="n"/>
      <c r="D156" s="21" t="n"/>
      <c r="E156" s="22" t="n"/>
      <c r="F156" s="23" t="n"/>
      <c r="G156" s="23" t="n"/>
      <c r="H156" s="23" t="n"/>
      <c r="I156" s="24" t="n"/>
      <c r="J156" s="25" t="n"/>
      <c r="K156" s="25" t="n"/>
      <c r="L156" s="25" t="n"/>
      <c r="M156" s="25" t="n"/>
      <c r="N156" s="26" t="n"/>
      <c r="O156" s="26" t="n"/>
      <c r="P156" s="27" t="str">
        <f>IF(OR(J156="",K156="",I156="",AF156=0,AD156=""),"",(K156-J156)*AF156*I156*AD156*AE156)</f>
        <v/>
      </c>
      <c r="Q156" s="26" t="n"/>
      <c r="R156" s="28" t="str">
        <f>IF(Q156&lt;&gt;"",Q156,IF(P156="","",P156-N(N156)+N(O156)))</f>
        <v/>
      </c>
      <c r="S156" s="27" t="str">
        <f>IF(OR(L156="",J156="",I156="",AD156=""),"",ABS(J156-L156)*I156*AD156*AE156)</f>
        <v/>
      </c>
      <c r="T156" s="29" t="str">
        <f>IF(OR(R156="",S156="",S156=0),"",R156/S156)</f>
        <v/>
      </c>
      <c r="U156" s="20" t="str">
        <f>IF(R156="","",IF(R156&gt;0,"Ganadora",IF(R156&lt;0,"Perdedora","BE")))</f>
        <v/>
      </c>
      <c r="V156" s="23" t="n"/>
      <c r="W156" s="23" t="n"/>
      <c r="X156" s="23" t="n"/>
      <c r="Y156" s="23" t="n"/>
      <c r="Z156" s="23" t="n"/>
      <c r="AA156" s="23" t="n"/>
      <c r="AB156" s="30" t="n"/>
      <c r="AC156" s="1" t="n"/>
      <c r="AD156" s="1" t="str">
        <f>IF(G156="","",IFERROR(INDEX('Listas'!$N$6:$N$35,MATCH(G156,'Listas'!$M$6:$M$35,0)),""))</f>
        <v/>
      </c>
      <c r="AE156">
        <f>IF(G156="",1,IFERROR(INDEX('Listas'!$P$6:$P$35,MATCH(G156,'Listas'!$M$6:$M$35,0)),1))</f>
        <v>1</v>
      </c>
      <c r="AF156">
        <f>IF(H156="Compra",1,IF(H156="Venta",-1,0))</f>
        <v>0</v>
      </c>
      <c r="AG156">
        <f>IF(AND(D156&lt;&gt;"",ISNUMBER(R156)),1,0)</f>
        <v>0</v>
      </c>
      <c r="AH156">
        <f>IF(AG156=0,0,IF(OR('Panel'!$D$5="Todas las cuentas",'Panel'!$D$5="",F156='Panel'!$D$5),1,0))</f>
        <v>0</v>
      </c>
      <c r="AI156">
        <f>IF(AH156=0,0,IF(AND(OR('Panel'!$G$5="",D156&gt;='Panel'!$G$5),OR('Panel'!$J$5="",D156&lt;='Panel'!$J$5)),1,0))</f>
        <v>0</v>
      </c>
      <c r="AJ156">
        <f>IF(AI156=1,R156,0)</f>
        <v>0</v>
      </c>
      <c r="AK156" t="str">
        <f>IF(AI156=1,'Panel'!$AB$4+SUM($AJ$5:AJ156),"")</f>
        <v/>
      </c>
      <c r="AL156">
        <f>IF(AI156=0,N(AL155),IF(R156&lt;0,N(AL155)+1,0))</f>
        <v>1</v>
      </c>
      <c r="AM156">
        <f>IF(AI156=0,N(AM155),IF(R156&gt;0,N(AM155)+1,0))</f>
        <v>0</v>
      </c>
      <c r="AN156">
        <f>IF(AI156=1,MAX('Panel'!$AB$4,N(AN155),AK156),N(AN155))</f>
        <v>21371.061500000033</v>
      </c>
      <c r="AO156">
        <f>IF(AI156=1,AN156-AK156,0)</f>
        <v>0</v>
      </c>
      <c r="AP156">
        <f>IF(AND(AI156=1,AN156&gt;0),AO156/AN156,0)</f>
        <v>0</v>
      </c>
      <c r="AQ156" t="str">
        <f>IF(AI156=1,SUM($AI$5:AI156),"")</f>
        <v/>
      </c>
      <c r="AR156" t="str">
        <f>IF(AI156=1,IF(COUNTIFS($D$5:D156,D156,$AI$5:AI156,1)=1,SUMIFS($AJ$5:$AJ$504,$D$5:$D$504,D156),""),"")</f>
        <v/>
      </c>
      <c r="AS156" t="str">
        <f>IF(AG156=1,WEEKDAY(D156,2),"")</f>
        <v/>
      </c>
      <c r="AT156" s="31" t="str">
        <f>IF(AG156=1,DATE(YEAR(D156),MONTH(D156),1),"")</f>
        <v/>
      </c>
      <c r="AU156">
        <f>IF(AG156=0,0,IF(AND(OR('Prop challenge'!$D$7="",F156='Prop challenge'!$D$7),OR('Prop challenge'!$D$9="",D156&gt;='Prop challenge'!$D$9)),1,0))</f>
        <v>0</v>
      </c>
      <c r="AV156">
        <f>IF(AU156=1,IF(COUNTIFS($D$5:D156,D156,$AU$5:AU156,1)=1,1,0),0)</f>
        <v>0</v>
      </c>
      <c r="AW156" t="str">
        <f>IF(AV156=1,SUM($AV$5:AV156),"")</f>
        <v/>
      </c>
      <c r="AX156" t="str">
        <f>IF(AV156=1,SUMIFS($R$5:$R$504,$D$5:$D$504,D156,$AU$5:$AU$504,1),"")</f>
        <v/>
      </c>
    </row>
    <row r="157">
      <c r="A157" s="20" t="str">
        <f>IF(AG157=1,ROW()-4,"")</f>
        <v/>
      </c>
      <c r="B157" s="21" t="n"/>
      <c r="C157" s="22" t="n"/>
      <c r="D157" s="21" t="n"/>
      <c r="E157" s="22" t="n"/>
      <c r="F157" s="23" t="n"/>
      <c r="G157" s="23" t="n"/>
      <c r="H157" s="23" t="n"/>
      <c r="I157" s="24" t="n"/>
      <c r="J157" s="25" t="n"/>
      <c r="K157" s="25" t="n"/>
      <c r="L157" s="25" t="n"/>
      <c r="M157" s="25" t="n"/>
      <c r="N157" s="26" t="n"/>
      <c r="O157" s="26" t="n"/>
      <c r="P157" s="27" t="str">
        <f>IF(OR(J157="",K157="",I157="",AF157=0,AD157=""),"",(K157-J157)*AF157*I157*AD157*AE157)</f>
        <v/>
      </c>
      <c r="Q157" s="26" t="n"/>
      <c r="R157" s="28" t="str">
        <f>IF(Q157&lt;&gt;"",Q157,IF(P157="","",P157-N(N157)+N(O157)))</f>
        <v/>
      </c>
      <c r="S157" s="27" t="str">
        <f>IF(OR(L157="",J157="",I157="",AD157=""),"",ABS(J157-L157)*I157*AD157*AE157)</f>
        <v/>
      </c>
      <c r="T157" s="29" t="str">
        <f>IF(OR(R157="",S157="",S157=0),"",R157/S157)</f>
        <v/>
      </c>
      <c r="U157" s="20" t="str">
        <f>IF(R157="","",IF(R157&gt;0,"Ganadora",IF(R157&lt;0,"Perdedora","BE")))</f>
        <v/>
      </c>
      <c r="V157" s="23" t="n"/>
      <c r="W157" s="23" t="n"/>
      <c r="X157" s="23" t="n"/>
      <c r="Y157" s="23" t="n"/>
      <c r="Z157" s="23" t="n"/>
      <c r="AA157" s="23" t="n"/>
      <c r="AB157" s="30" t="n"/>
      <c r="AC157" s="1" t="n"/>
      <c r="AD157" s="1" t="str">
        <f>IF(G157="","",IFERROR(INDEX('Listas'!$N$6:$N$35,MATCH(G157,'Listas'!$M$6:$M$35,0)),""))</f>
        <v/>
      </c>
      <c r="AE157">
        <f>IF(G157="",1,IFERROR(INDEX('Listas'!$P$6:$P$35,MATCH(G157,'Listas'!$M$6:$M$35,0)),1))</f>
        <v>1</v>
      </c>
      <c r="AF157">
        <f>IF(H157="Compra",1,IF(H157="Venta",-1,0))</f>
        <v>0</v>
      </c>
      <c r="AG157">
        <f>IF(AND(D157&lt;&gt;"",ISNUMBER(R157)),1,0)</f>
        <v>0</v>
      </c>
      <c r="AH157">
        <f>IF(AG157=0,0,IF(OR('Panel'!$D$5="Todas las cuentas",'Panel'!$D$5="",F157='Panel'!$D$5),1,0))</f>
        <v>0</v>
      </c>
      <c r="AI157">
        <f>IF(AH157=0,0,IF(AND(OR('Panel'!$G$5="",D157&gt;='Panel'!$G$5),OR('Panel'!$J$5="",D157&lt;='Panel'!$J$5)),1,0))</f>
        <v>0</v>
      </c>
      <c r="AJ157">
        <f>IF(AI157=1,R157,0)</f>
        <v>0</v>
      </c>
      <c r="AK157" t="str">
        <f>IF(AI157=1,'Panel'!$AB$4+SUM($AJ$5:AJ157),"")</f>
        <v/>
      </c>
      <c r="AL157">
        <f>IF(AI157=0,N(AL156),IF(R157&lt;0,N(AL156)+1,0))</f>
        <v>1</v>
      </c>
      <c r="AM157">
        <f>IF(AI157=0,N(AM156),IF(R157&gt;0,N(AM156)+1,0))</f>
        <v>0</v>
      </c>
      <c r="AN157">
        <f>IF(AI157=1,MAX('Panel'!$AB$4,N(AN156),AK157),N(AN156))</f>
        <v>21371.061500000033</v>
      </c>
      <c r="AO157">
        <f>IF(AI157=1,AN157-AK157,0)</f>
        <v>0</v>
      </c>
      <c r="AP157">
        <f>IF(AND(AI157=1,AN157&gt;0),AO157/AN157,0)</f>
        <v>0</v>
      </c>
      <c r="AQ157" t="str">
        <f>IF(AI157=1,SUM($AI$5:AI157),"")</f>
        <v/>
      </c>
      <c r="AR157" t="str">
        <f>IF(AI157=1,IF(COUNTIFS($D$5:D157,D157,$AI$5:AI157,1)=1,SUMIFS($AJ$5:$AJ$504,$D$5:$D$504,D157),""),"")</f>
        <v/>
      </c>
      <c r="AS157" t="str">
        <f>IF(AG157=1,WEEKDAY(D157,2),"")</f>
        <v/>
      </c>
      <c r="AT157" s="31" t="str">
        <f>IF(AG157=1,DATE(YEAR(D157),MONTH(D157),1),"")</f>
        <v/>
      </c>
      <c r="AU157">
        <f>IF(AG157=0,0,IF(AND(OR('Prop challenge'!$D$7="",F157='Prop challenge'!$D$7),OR('Prop challenge'!$D$9="",D157&gt;='Prop challenge'!$D$9)),1,0))</f>
        <v>0</v>
      </c>
      <c r="AV157">
        <f>IF(AU157=1,IF(COUNTIFS($D$5:D157,D157,$AU$5:AU157,1)=1,1,0),0)</f>
        <v>0</v>
      </c>
      <c r="AW157" t="str">
        <f>IF(AV157=1,SUM($AV$5:AV157),"")</f>
        <v/>
      </c>
      <c r="AX157" t="str">
        <f>IF(AV157=1,SUMIFS($R$5:$R$504,$D$5:$D$504,D157,$AU$5:$AU$504,1),"")</f>
        <v/>
      </c>
    </row>
    <row r="158">
      <c r="A158" s="20" t="str">
        <f>IF(AG158=1,ROW()-4,"")</f>
        <v/>
      </c>
      <c r="B158" s="21" t="n"/>
      <c r="C158" s="22" t="n"/>
      <c r="D158" s="21" t="n"/>
      <c r="E158" s="22" t="n"/>
      <c r="F158" s="23" t="n"/>
      <c r="G158" s="23" t="n"/>
      <c r="H158" s="23" t="n"/>
      <c r="I158" s="24" t="n"/>
      <c r="J158" s="25" t="n"/>
      <c r="K158" s="25" t="n"/>
      <c r="L158" s="25" t="n"/>
      <c r="M158" s="25" t="n"/>
      <c r="N158" s="26" t="n"/>
      <c r="O158" s="26" t="n"/>
      <c r="P158" s="27" t="str">
        <f>IF(OR(J158="",K158="",I158="",AF158=0,AD158=""),"",(K158-J158)*AF158*I158*AD158*AE158)</f>
        <v/>
      </c>
      <c r="Q158" s="26" t="n"/>
      <c r="R158" s="28" t="str">
        <f>IF(Q158&lt;&gt;"",Q158,IF(P158="","",P158-N(N158)+N(O158)))</f>
        <v/>
      </c>
      <c r="S158" s="27" t="str">
        <f>IF(OR(L158="",J158="",I158="",AD158=""),"",ABS(J158-L158)*I158*AD158*AE158)</f>
        <v/>
      </c>
      <c r="T158" s="29" t="str">
        <f>IF(OR(R158="",S158="",S158=0),"",R158/S158)</f>
        <v/>
      </c>
      <c r="U158" s="20" t="str">
        <f>IF(R158="","",IF(R158&gt;0,"Ganadora",IF(R158&lt;0,"Perdedora","BE")))</f>
        <v/>
      </c>
      <c r="V158" s="23" t="n"/>
      <c r="W158" s="23" t="n"/>
      <c r="X158" s="23" t="n"/>
      <c r="Y158" s="23" t="n"/>
      <c r="Z158" s="23" t="n"/>
      <c r="AA158" s="23" t="n"/>
      <c r="AB158" s="30" t="n"/>
      <c r="AC158" s="1" t="n"/>
      <c r="AD158" s="1" t="str">
        <f>IF(G158="","",IFERROR(INDEX('Listas'!$N$6:$N$35,MATCH(G158,'Listas'!$M$6:$M$35,0)),""))</f>
        <v/>
      </c>
      <c r="AE158">
        <f>IF(G158="",1,IFERROR(INDEX('Listas'!$P$6:$P$35,MATCH(G158,'Listas'!$M$6:$M$35,0)),1))</f>
        <v>1</v>
      </c>
      <c r="AF158">
        <f>IF(H158="Compra",1,IF(H158="Venta",-1,0))</f>
        <v>0</v>
      </c>
      <c r="AG158">
        <f>IF(AND(D158&lt;&gt;"",ISNUMBER(R158)),1,0)</f>
        <v>0</v>
      </c>
      <c r="AH158">
        <f>IF(AG158=0,0,IF(OR('Panel'!$D$5="Todas las cuentas",'Panel'!$D$5="",F158='Panel'!$D$5),1,0))</f>
        <v>0</v>
      </c>
      <c r="AI158">
        <f>IF(AH158=0,0,IF(AND(OR('Panel'!$G$5="",D158&gt;='Panel'!$G$5),OR('Panel'!$J$5="",D158&lt;='Panel'!$J$5)),1,0))</f>
        <v>0</v>
      </c>
      <c r="AJ158">
        <f>IF(AI158=1,R158,0)</f>
        <v>0</v>
      </c>
      <c r="AK158" t="str">
        <f>IF(AI158=1,'Panel'!$AB$4+SUM($AJ$5:AJ158),"")</f>
        <v/>
      </c>
      <c r="AL158">
        <f>IF(AI158=0,N(AL157),IF(R158&lt;0,N(AL157)+1,0))</f>
        <v>1</v>
      </c>
      <c r="AM158">
        <f>IF(AI158=0,N(AM157),IF(R158&gt;0,N(AM157)+1,0))</f>
        <v>0</v>
      </c>
      <c r="AN158">
        <f>IF(AI158=1,MAX('Panel'!$AB$4,N(AN157),AK158),N(AN157))</f>
        <v>21371.061500000033</v>
      </c>
      <c r="AO158">
        <f>IF(AI158=1,AN158-AK158,0)</f>
        <v>0</v>
      </c>
      <c r="AP158">
        <f>IF(AND(AI158=1,AN158&gt;0),AO158/AN158,0)</f>
        <v>0</v>
      </c>
      <c r="AQ158" t="str">
        <f>IF(AI158=1,SUM($AI$5:AI158),"")</f>
        <v/>
      </c>
      <c r="AR158" t="str">
        <f>IF(AI158=1,IF(COUNTIFS($D$5:D158,D158,$AI$5:AI158,1)=1,SUMIFS($AJ$5:$AJ$504,$D$5:$D$504,D158),""),"")</f>
        <v/>
      </c>
      <c r="AS158" t="str">
        <f>IF(AG158=1,WEEKDAY(D158,2),"")</f>
        <v/>
      </c>
      <c r="AT158" s="31" t="str">
        <f>IF(AG158=1,DATE(YEAR(D158),MONTH(D158),1),"")</f>
        <v/>
      </c>
      <c r="AU158">
        <f>IF(AG158=0,0,IF(AND(OR('Prop challenge'!$D$7="",F158='Prop challenge'!$D$7),OR('Prop challenge'!$D$9="",D158&gt;='Prop challenge'!$D$9)),1,0))</f>
        <v>0</v>
      </c>
      <c r="AV158">
        <f>IF(AU158=1,IF(COUNTIFS($D$5:D158,D158,$AU$5:AU158,1)=1,1,0),0)</f>
        <v>0</v>
      </c>
      <c r="AW158" t="str">
        <f>IF(AV158=1,SUM($AV$5:AV158),"")</f>
        <v/>
      </c>
      <c r="AX158" t="str">
        <f>IF(AV158=1,SUMIFS($R$5:$R$504,$D$5:$D$504,D158,$AU$5:$AU$504,1),"")</f>
        <v/>
      </c>
    </row>
    <row r="159">
      <c r="A159" s="20" t="str">
        <f>IF(AG159=1,ROW()-4,"")</f>
        <v/>
      </c>
      <c r="B159" s="21" t="n"/>
      <c r="C159" s="22" t="n"/>
      <c r="D159" s="21" t="n"/>
      <c r="E159" s="22" t="n"/>
      <c r="F159" s="23" t="n"/>
      <c r="G159" s="23" t="n"/>
      <c r="H159" s="23" t="n"/>
      <c r="I159" s="24" t="n"/>
      <c r="J159" s="25" t="n"/>
      <c r="K159" s="25" t="n"/>
      <c r="L159" s="25" t="n"/>
      <c r="M159" s="25" t="n"/>
      <c r="N159" s="26" t="n"/>
      <c r="O159" s="26" t="n"/>
      <c r="P159" s="27" t="str">
        <f>IF(OR(J159="",K159="",I159="",AF159=0,AD159=""),"",(K159-J159)*AF159*I159*AD159*AE159)</f>
        <v/>
      </c>
      <c r="Q159" s="26" t="n"/>
      <c r="R159" s="28" t="str">
        <f>IF(Q159&lt;&gt;"",Q159,IF(P159="","",P159-N(N159)+N(O159)))</f>
        <v/>
      </c>
      <c r="S159" s="27" t="str">
        <f>IF(OR(L159="",J159="",I159="",AD159=""),"",ABS(J159-L159)*I159*AD159*AE159)</f>
        <v/>
      </c>
      <c r="T159" s="29" t="str">
        <f>IF(OR(R159="",S159="",S159=0),"",R159/S159)</f>
        <v/>
      </c>
      <c r="U159" s="20" t="str">
        <f>IF(R159="","",IF(R159&gt;0,"Ganadora",IF(R159&lt;0,"Perdedora","BE")))</f>
        <v/>
      </c>
      <c r="V159" s="23" t="n"/>
      <c r="W159" s="23" t="n"/>
      <c r="X159" s="23" t="n"/>
      <c r="Y159" s="23" t="n"/>
      <c r="Z159" s="23" t="n"/>
      <c r="AA159" s="23" t="n"/>
      <c r="AB159" s="30" t="n"/>
      <c r="AC159" s="1" t="n"/>
      <c r="AD159" s="1" t="str">
        <f>IF(G159="","",IFERROR(INDEX('Listas'!$N$6:$N$35,MATCH(G159,'Listas'!$M$6:$M$35,0)),""))</f>
        <v/>
      </c>
      <c r="AE159">
        <f>IF(G159="",1,IFERROR(INDEX('Listas'!$P$6:$P$35,MATCH(G159,'Listas'!$M$6:$M$35,0)),1))</f>
        <v>1</v>
      </c>
      <c r="AF159">
        <f>IF(H159="Compra",1,IF(H159="Venta",-1,0))</f>
        <v>0</v>
      </c>
      <c r="AG159">
        <f>IF(AND(D159&lt;&gt;"",ISNUMBER(R159)),1,0)</f>
        <v>0</v>
      </c>
      <c r="AH159">
        <f>IF(AG159=0,0,IF(OR('Panel'!$D$5="Todas las cuentas",'Panel'!$D$5="",F159='Panel'!$D$5),1,0))</f>
        <v>0</v>
      </c>
      <c r="AI159">
        <f>IF(AH159=0,0,IF(AND(OR('Panel'!$G$5="",D159&gt;='Panel'!$G$5),OR('Panel'!$J$5="",D159&lt;='Panel'!$J$5)),1,0))</f>
        <v>0</v>
      </c>
      <c r="AJ159">
        <f>IF(AI159=1,R159,0)</f>
        <v>0</v>
      </c>
      <c r="AK159" t="str">
        <f>IF(AI159=1,'Panel'!$AB$4+SUM($AJ$5:AJ159),"")</f>
        <v/>
      </c>
      <c r="AL159">
        <f>IF(AI159=0,N(AL158),IF(R159&lt;0,N(AL158)+1,0))</f>
        <v>1</v>
      </c>
      <c r="AM159">
        <f>IF(AI159=0,N(AM158),IF(R159&gt;0,N(AM158)+1,0))</f>
        <v>0</v>
      </c>
      <c r="AN159">
        <f>IF(AI159=1,MAX('Panel'!$AB$4,N(AN158),AK159),N(AN158))</f>
        <v>21371.061500000033</v>
      </c>
      <c r="AO159">
        <f>IF(AI159=1,AN159-AK159,0)</f>
        <v>0</v>
      </c>
      <c r="AP159">
        <f>IF(AND(AI159=1,AN159&gt;0),AO159/AN159,0)</f>
        <v>0</v>
      </c>
      <c r="AQ159" t="str">
        <f>IF(AI159=1,SUM($AI$5:AI159),"")</f>
        <v/>
      </c>
      <c r="AR159" t="str">
        <f>IF(AI159=1,IF(COUNTIFS($D$5:D159,D159,$AI$5:AI159,1)=1,SUMIFS($AJ$5:$AJ$504,$D$5:$D$504,D159),""),"")</f>
        <v/>
      </c>
      <c r="AS159" t="str">
        <f>IF(AG159=1,WEEKDAY(D159,2),"")</f>
        <v/>
      </c>
      <c r="AT159" s="31" t="str">
        <f>IF(AG159=1,DATE(YEAR(D159),MONTH(D159),1),"")</f>
        <v/>
      </c>
      <c r="AU159">
        <f>IF(AG159=0,0,IF(AND(OR('Prop challenge'!$D$7="",F159='Prop challenge'!$D$7),OR('Prop challenge'!$D$9="",D159&gt;='Prop challenge'!$D$9)),1,0))</f>
        <v>0</v>
      </c>
      <c r="AV159">
        <f>IF(AU159=1,IF(COUNTIFS($D$5:D159,D159,$AU$5:AU159,1)=1,1,0),0)</f>
        <v>0</v>
      </c>
      <c r="AW159" t="str">
        <f>IF(AV159=1,SUM($AV$5:AV159),"")</f>
        <v/>
      </c>
      <c r="AX159" t="str">
        <f>IF(AV159=1,SUMIFS($R$5:$R$504,$D$5:$D$504,D159,$AU$5:$AU$504,1),"")</f>
        <v/>
      </c>
    </row>
    <row r="160">
      <c r="A160" s="20" t="str">
        <f>IF(AG160=1,ROW()-4,"")</f>
        <v/>
      </c>
      <c r="B160" s="21" t="n"/>
      <c r="C160" s="22" t="n"/>
      <c r="D160" s="21" t="n"/>
      <c r="E160" s="22" t="n"/>
      <c r="F160" s="23" t="n"/>
      <c r="G160" s="23" t="n"/>
      <c r="H160" s="23" t="n"/>
      <c r="I160" s="24" t="n"/>
      <c r="J160" s="25" t="n"/>
      <c r="K160" s="25" t="n"/>
      <c r="L160" s="25" t="n"/>
      <c r="M160" s="25" t="n"/>
      <c r="N160" s="26" t="n"/>
      <c r="O160" s="26" t="n"/>
      <c r="P160" s="27" t="str">
        <f>IF(OR(J160="",K160="",I160="",AF160=0,AD160=""),"",(K160-J160)*AF160*I160*AD160*AE160)</f>
        <v/>
      </c>
      <c r="Q160" s="26" t="n"/>
      <c r="R160" s="28" t="str">
        <f>IF(Q160&lt;&gt;"",Q160,IF(P160="","",P160-N(N160)+N(O160)))</f>
        <v/>
      </c>
      <c r="S160" s="27" t="str">
        <f>IF(OR(L160="",J160="",I160="",AD160=""),"",ABS(J160-L160)*I160*AD160*AE160)</f>
        <v/>
      </c>
      <c r="T160" s="29" t="str">
        <f>IF(OR(R160="",S160="",S160=0),"",R160/S160)</f>
        <v/>
      </c>
      <c r="U160" s="20" t="str">
        <f>IF(R160="","",IF(R160&gt;0,"Ganadora",IF(R160&lt;0,"Perdedora","BE")))</f>
        <v/>
      </c>
      <c r="V160" s="23" t="n"/>
      <c r="W160" s="23" t="n"/>
      <c r="X160" s="23" t="n"/>
      <c r="Y160" s="23" t="n"/>
      <c r="Z160" s="23" t="n"/>
      <c r="AA160" s="23" t="n"/>
      <c r="AB160" s="30" t="n"/>
      <c r="AC160" s="1" t="n"/>
      <c r="AD160" s="1" t="str">
        <f>IF(G160="","",IFERROR(INDEX('Listas'!$N$6:$N$35,MATCH(G160,'Listas'!$M$6:$M$35,0)),""))</f>
        <v/>
      </c>
      <c r="AE160">
        <f>IF(G160="",1,IFERROR(INDEX('Listas'!$P$6:$P$35,MATCH(G160,'Listas'!$M$6:$M$35,0)),1))</f>
        <v>1</v>
      </c>
      <c r="AF160">
        <f>IF(H160="Compra",1,IF(H160="Venta",-1,0))</f>
        <v>0</v>
      </c>
      <c r="AG160">
        <f>IF(AND(D160&lt;&gt;"",ISNUMBER(R160)),1,0)</f>
        <v>0</v>
      </c>
      <c r="AH160">
        <f>IF(AG160=0,0,IF(OR('Panel'!$D$5="Todas las cuentas",'Panel'!$D$5="",F160='Panel'!$D$5),1,0))</f>
        <v>0</v>
      </c>
      <c r="AI160">
        <f>IF(AH160=0,0,IF(AND(OR('Panel'!$G$5="",D160&gt;='Panel'!$G$5),OR('Panel'!$J$5="",D160&lt;='Panel'!$J$5)),1,0))</f>
        <v>0</v>
      </c>
      <c r="AJ160">
        <f>IF(AI160=1,R160,0)</f>
        <v>0</v>
      </c>
      <c r="AK160" t="str">
        <f>IF(AI160=1,'Panel'!$AB$4+SUM($AJ$5:AJ160),"")</f>
        <v/>
      </c>
      <c r="AL160">
        <f>IF(AI160=0,N(AL159),IF(R160&lt;0,N(AL159)+1,0))</f>
        <v>1</v>
      </c>
      <c r="AM160">
        <f>IF(AI160=0,N(AM159),IF(R160&gt;0,N(AM159)+1,0))</f>
        <v>0</v>
      </c>
      <c r="AN160">
        <f>IF(AI160=1,MAX('Panel'!$AB$4,N(AN159),AK160),N(AN159))</f>
        <v>21371.061500000033</v>
      </c>
      <c r="AO160">
        <f>IF(AI160=1,AN160-AK160,0)</f>
        <v>0</v>
      </c>
      <c r="AP160">
        <f>IF(AND(AI160=1,AN160&gt;0),AO160/AN160,0)</f>
        <v>0</v>
      </c>
      <c r="AQ160" t="str">
        <f>IF(AI160=1,SUM($AI$5:AI160),"")</f>
        <v/>
      </c>
      <c r="AR160" t="str">
        <f>IF(AI160=1,IF(COUNTIFS($D$5:D160,D160,$AI$5:AI160,1)=1,SUMIFS($AJ$5:$AJ$504,$D$5:$D$504,D160),""),"")</f>
        <v/>
      </c>
      <c r="AS160" t="str">
        <f>IF(AG160=1,WEEKDAY(D160,2),"")</f>
        <v/>
      </c>
      <c r="AT160" s="31" t="str">
        <f>IF(AG160=1,DATE(YEAR(D160),MONTH(D160),1),"")</f>
        <v/>
      </c>
      <c r="AU160">
        <f>IF(AG160=0,0,IF(AND(OR('Prop challenge'!$D$7="",F160='Prop challenge'!$D$7),OR('Prop challenge'!$D$9="",D160&gt;='Prop challenge'!$D$9)),1,0))</f>
        <v>0</v>
      </c>
      <c r="AV160">
        <f>IF(AU160=1,IF(COUNTIFS($D$5:D160,D160,$AU$5:AU160,1)=1,1,0),0)</f>
        <v>0</v>
      </c>
      <c r="AW160" t="str">
        <f>IF(AV160=1,SUM($AV$5:AV160),"")</f>
        <v/>
      </c>
      <c r="AX160" t="str">
        <f>IF(AV160=1,SUMIFS($R$5:$R$504,$D$5:$D$504,D160,$AU$5:$AU$504,1),"")</f>
        <v/>
      </c>
    </row>
    <row r="161">
      <c r="A161" s="20" t="str">
        <f>IF(AG161=1,ROW()-4,"")</f>
        <v/>
      </c>
      <c r="B161" s="21" t="n"/>
      <c r="C161" s="22" t="n"/>
      <c r="D161" s="21" t="n"/>
      <c r="E161" s="22" t="n"/>
      <c r="F161" s="23" t="n"/>
      <c r="G161" s="23" t="n"/>
      <c r="H161" s="23" t="n"/>
      <c r="I161" s="24" t="n"/>
      <c r="J161" s="25" t="n"/>
      <c r="K161" s="25" t="n"/>
      <c r="L161" s="25" t="n"/>
      <c r="M161" s="25" t="n"/>
      <c r="N161" s="26" t="n"/>
      <c r="O161" s="26" t="n"/>
      <c r="P161" s="27" t="str">
        <f>IF(OR(J161="",K161="",I161="",AF161=0,AD161=""),"",(K161-J161)*AF161*I161*AD161*AE161)</f>
        <v/>
      </c>
      <c r="Q161" s="26" t="n"/>
      <c r="R161" s="28" t="str">
        <f>IF(Q161&lt;&gt;"",Q161,IF(P161="","",P161-N(N161)+N(O161)))</f>
        <v/>
      </c>
      <c r="S161" s="27" t="str">
        <f>IF(OR(L161="",J161="",I161="",AD161=""),"",ABS(J161-L161)*I161*AD161*AE161)</f>
        <v/>
      </c>
      <c r="T161" s="29" t="str">
        <f>IF(OR(R161="",S161="",S161=0),"",R161/S161)</f>
        <v/>
      </c>
      <c r="U161" s="20" t="str">
        <f>IF(R161="","",IF(R161&gt;0,"Ganadora",IF(R161&lt;0,"Perdedora","BE")))</f>
        <v/>
      </c>
      <c r="V161" s="23" t="n"/>
      <c r="W161" s="23" t="n"/>
      <c r="X161" s="23" t="n"/>
      <c r="Y161" s="23" t="n"/>
      <c r="Z161" s="23" t="n"/>
      <c r="AA161" s="23" t="n"/>
      <c r="AB161" s="30" t="n"/>
      <c r="AC161" s="1" t="n"/>
      <c r="AD161" s="1" t="str">
        <f>IF(G161="","",IFERROR(INDEX('Listas'!$N$6:$N$35,MATCH(G161,'Listas'!$M$6:$M$35,0)),""))</f>
        <v/>
      </c>
      <c r="AE161">
        <f>IF(G161="",1,IFERROR(INDEX('Listas'!$P$6:$P$35,MATCH(G161,'Listas'!$M$6:$M$35,0)),1))</f>
        <v>1</v>
      </c>
      <c r="AF161">
        <f>IF(H161="Compra",1,IF(H161="Venta",-1,0))</f>
        <v>0</v>
      </c>
      <c r="AG161">
        <f>IF(AND(D161&lt;&gt;"",ISNUMBER(R161)),1,0)</f>
        <v>0</v>
      </c>
      <c r="AH161">
        <f>IF(AG161=0,0,IF(OR('Panel'!$D$5="Todas las cuentas",'Panel'!$D$5="",F161='Panel'!$D$5),1,0))</f>
        <v>0</v>
      </c>
      <c r="AI161">
        <f>IF(AH161=0,0,IF(AND(OR('Panel'!$G$5="",D161&gt;='Panel'!$G$5),OR('Panel'!$J$5="",D161&lt;='Panel'!$J$5)),1,0))</f>
        <v>0</v>
      </c>
      <c r="AJ161">
        <f>IF(AI161=1,R161,0)</f>
        <v>0</v>
      </c>
      <c r="AK161" t="str">
        <f>IF(AI161=1,'Panel'!$AB$4+SUM($AJ$5:AJ161),"")</f>
        <v/>
      </c>
      <c r="AL161">
        <f>IF(AI161=0,N(AL160),IF(R161&lt;0,N(AL160)+1,0))</f>
        <v>1</v>
      </c>
      <c r="AM161">
        <f>IF(AI161=0,N(AM160),IF(R161&gt;0,N(AM160)+1,0))</f>
        <v>0</v>
      </c>
      <c r="AN161">
        <f>IF(AI161=1,MAX('Panel'!$AB$4,N(AN160),AK161),N(AN160))</f>
        <v>21371.061500000033</v>
      </c>
      <c r="AO161">
        <f>IF(AI161=1,AN161-AK161,0)</f>
        <v>0</v>
      </c>
      <c r="AP161">
        <f>IF(AND(AI161=1,AN161&gt;0),AO161/AN161,0)</f>
        <v>0</v>
      </c>
      <c r="AQ161" t="str">
        <f>IF(AI161=1,SUM($AI$5:AI161),"")</f>
        <v/>
      </c>
      <c r="AR161" t="str">
        <f>IF(AI161=1,IF(COUNTIFS($D$5:D161,D161,$AI$5:AI161,1)=1,SUMIFS($AJ$5:$AJ$504,$D$5:$D$504,D161),""),"")</f>
        <v/>
      </c>
      <c r="AS161" t="str">
        <f>IF(AG161=1,WEEKDAY(D161,2),"")</f>
        <v/>
      </c>
      <c r="AT161" s="31" t="str">
        <f>IF(AG161=1,DATE(YEAR(D161),MONTH(D161),1),"")</f>
        <v/>
      </c>
      <c r="AU161">
        <f>IF(AG161=0,0,IF(AND(OR('Prop challenge'!$D$7="",F161='Prop challenge'!$D$7),OR('Prop challenge'!$D$9="",D161&gt;='Prop challenge'!$D$9)),1,0))</f>
        <v>0</v>
      </c>
      <c r="AV161">
        <f>IF(AU161=1,IF(COUNTIFS($D$5:D161,D161,$AU$5:AU161,1)=1,1,0),0)</f>
        <v>0</v>
      </c>
      <c r="AW161" t="str">
        <f>IF(AV161=1,SUM($AV$5:AV161),"")</f>
        <v/>
      </c>
      <c r="AX161" t="str">
        <f>IF(AV161=1,SUMIFS($R$5:$R$504,$D$5:$D$504,D161,$AU$5:$AU$504,1),"")</f>
        <v/>
      </c>
    </row>
    <row r="162">
      <c r="A162" s="20" t="str">
        <f>IF(AG162=1,ROW()-4,"")</f>
        <v/>
      </c>
      <c r="B162" s="21" t="n"/>
      <c r="C162" s="22" t="n"/>
      <c r="D162" s="21" t="n"/>
      <c r="E162" s="22" t="n"/>
      <c r="F162" s="23" t="n"/>
      <c r="G162" s="23" t="n"/>
      <c r="H162" s="23" t="n"/>
      <c r="I162" s="24" t="n"/>
      <c r="J162" s="25" t="n"/>
      <c r="K162" s="25" t="n"/>
      <c r="L162" s="25" t="n"/>
      <c r="M162" s="25" t="n"/>
      <c r="N162" s="26" t="n"/>
      <c r="O162" s="26" t="n"/>
      <c r="P162" s="27" t="str">
        <f>IF(OR(J162="",K162="",I162="",AF162=0,AD162=""),"",(K162-J162)*AF162*I162*AD162*AE162)</f>
        <v/>
      </c>
      <c r="Q162" s="26" t="n"/>
      <c r="R162" s="28" t="str">
        <f>IF(Q162&lt;&gt;"",Q162,IF(P162="","",P162-N(N162)+N(O162)))</f>
        <v/>
      </c>
      <c r="S162" s="27" t="str">
        <f>IF(OR(L162="",J162="",I162="",AD162=""),"",ABS(J162-L162)*I162*AD162*AE162)</f>
        <v/>
      </c>
      <c r="T162" s="29" t="str">
        <f>IF(OR(R162="",S162="",S162=0),"",R162/S162)</f>
        <v/>
      </c>
      <c r="U162" s="20" t="str">
        <f>IF(R162="","",IF(R162&gt;0,"Ganadora",IF(R162&lt;0,"Perdedora","BE")))</f>
        <v/>
      </c>
      <c r="V162" s="23" t="n"/>
      <c r="W162" s="23" t="n"/>
      <c r="X162" s="23" t="n"/>
      <c r="Y162" s="23" t="n"/>
      <c r="Z162" s="23" t="n"/>
      <c r="AA162" s="23" t="n"/>
      <c r="AB162" s="30" t="n"/>
      <c r="AC162" s="1" t="n"/>
      <c r="AD162" s="1" t="str">
        <f>IF(G162="","",IFERROR(INDEX('Listas'!$N$6:$N$35,MATCH(G162,'Listas'!$M$6:$M$35,0)),""))</f>
        <v/>
      </c>
      <c r="AE162">
        <f>IF(G162="",1,IFERROR(INDEX('Listas'!$P$6:$P$35,MATCH(G162,'Listas'!$M$6:$M$35,0)),1))</f>
        <v>1</v>
      </c>
      <c r="AF162">
        <f>IF(H162="Compra",1,IF(H162="Venta",-1,0))</f>
        <v>0</v>
      </c>
      <c r="AG162">
        <f>IF(AND(D162&lt;&gt;"",ISNUMBER(R162)),1,0)</f>
        <v>0</v>
      </c>
      <c r="AH162">
        <f>IF(AG162=0,0,IF(OR('Panel'!$D$5="Todas las cuentas",'Panel'!$D$5="",F162='Panel'!$D$5),1,0))</f>
        <v>0</v>
      </c>
      <c r="AI162">
        <f>IF(AH162=0,0,IF(AND(OR('Panel'!$G$5="",D162&gt;='Panel'!$G$5),OR('Panel'!$J$5="",D162&lt;='Panel'!$J$5)),1,0))</f>
        <v>0</v>
      </c>
      <c r="AJ162">
        <f>IF(AI162=1,R162,0)</f>
        <v>0</v>
      </c>
      <c r="AK162" t="str">
        <f>IF(AI162=1,'Panel'!$AB$4+SUM($AJ$5:AJ162),"")</f>
        <v/>
      </c>
      <c r="AL162">
        <f>IF(AI162=0,N(AL161),IF(R162&lt;0,N(AL161)+1,0))</f>
        <v>1</v>
      </c>
      <c r="AM162">
        <f>IF(AI162=0,N(AM161),IF(R162&gt;0,N(AM161)+1,0))</f>
        <v>0</v>
      </c>
      <c r="AN162">
        <f>IF(AI162=1,MAX('Panel'!$AB$4,N(AN161),AK162),N(AN161))</f>
        <v>21371.061500000033</v>
      </c>
      <c r="AO162">
        <f>IF(AI162=1,AN162-AK162,0)</f>
        <v>0</v>
      </c>
      <c r="AP162">
        <f>IF(AND(AI162=1,AN162&gt;0),AO162/AN162,0)</f>
        <v>0</v>
      </c>
      <c r="AQ162" t="str">
        <f>IF(AI162=1,SUM($AI$5:AI162),"")</f>
        <v/>
      </c>
      <c r="AR162" t="str">
        <f>IF(AI162=1,IF(COUNTIFS($D$5:D162,D162,$AI$5:AI162,1)=1,SUMIFS($AJ$5:$AJ$504,$D$5:$D$504,D162),""),"")</f>
        <v/>
      </c>
      <c r="AS162" t="str">
        <f>IF(AG162=1,WEEKDAY(D162,2),"")</f>
        <v/>
      </c>
      <c r="AT162" s="31" t="str">
        <f>IF(AG162=1,DATE(YEAR(D162),MONTH(D162),1),"")</f>
        <v/>
      </c>
      <c r="AU162">
        <f>IF(AG162=0,0,IF(AND(OR('Prop challenge'!$D$7="",F162='Prop challenge'!$D$7),OR('Prop challenge'!$D$9="",D162&gt;='Prop challenge'!$D$9)),1,0))</f>
        <v>0</v>
      </c>
      <c r="AV162">
        <f>IF(AU162=1,IF(COUNTIFS($D$5:D162,D162,$AU$5:AU162,1)=1,1,0),0)</f>
        <v>0</v>
      </c>
      <c r="AW162" t="str">
        <f>IF(AV162=1,SUM($AV$5:AV162),"")</f>
        <v/>
      </c>
      <c r="AX162" t="str">
        <f>IF(AV162=1,SUMIFS($R$5:$R$504,$D$5:$D$504,D162,$AU$5:$AU$504,1),"")</f>
        <v/>
      </c>
    </row>
    <row r="163">
      <c r="A163" s="20" t="str">
        <f>IF(AG163=1,ROW()-4,"")</f>
        <v/>
      </c>
      <c r="B163" s="21" t="n"/>
      <c r="C163" s="22" t="n"/>
      <c r="D163" s="21" t="n"/>
      <c r="E163" s="22" t="n"/>
      <c r="F163" s="23" t="n"/>
      <c r="G163" s="23" t="n"/>
      <c r="H163" s="23" t="n"/>
      <c r="I163" s="24" t="n"/>
      <c r="J163" s="25" t="n"/>
      <c r="K163" s="25" t="n"/>
      <c r="L163" s="25" t="n"/>
      <c r="M163" s="25" t="n"/>
      <c r="N163" s="26" t="n"/>
      <c r="O163" s="26" t="n"/>
      <c r="P163" s="27" t="str">
        <f>IF(OR(J163="",K163="",I163="",AF163=0,AD163=""),"",(K163-J163)*AF163*I163*AD163*AE163)</f>
        <v/>
      </c>
      <c r="Q163" s="26" t="n"/>
      <c r="R163" s="28" t="str">
        <f>IF(Q163&lt;&gt;"",Q163,IF(P163="","",P163-N(N163)+N(O163)))</f>
        <v/>
      </c>
      <c r="S163" s="27" t="str">
        <f>IF(OR(L163="",J163="",I163="",AD163=""),"",ABS(J163-L163)*I163*AD163*AE163)</f>
        <v/>
      </c>
      <c r="T163" s="29" t="str">
        <f>IF(OR(R163="",S163="",S163=0),"",R163/S163)</f>
        <v/>
      </c>
      <c r="U163" s="20" t="str">
        <f>IF(R163="","",IF(R163&gt;0,"Ganadora",IF(R163&lt;0,"Perdedora","BE")))</f>
        <v/>
      </c>
      <c r="V163" s="23" t="n"/>
      <c r="W163" s="23" t="n"/>
      <c r="X163" s="23" t="n"/>
      <c r="Y163" s="23" t="n"/>
      <c r="Z163" s="23" t="n"/>
      <c r="AA163" s="23" t="n"/>
      <c r="AB163" s="30" t="n"/>
      <c r="AC163" s="1" t="n"/>
      <c r="AD163" s="1" t="str">
        <f>IF(G163="","",IFERROR(INDEX('Listas'!$N$6:$N$35,MATCH(G163,'Listas'!$M$6:$M$35,0)),""))</f>
        <v/>
      </c>
      <c r="AE163">
        <f>IF(G163="",1,IFERROR(INDEX('Listas'!$P$6:$P$35,MATCH(G163,'Listas'!$M$6:$M$35,0)),1))</f>
        <v>1</v>
      </c>
      <c r="AF163">
        <f>IF(H163="Compra",1,IF(H163="Venta",-1,0))</f>
        <v>0</v>
      </c>
      <c r="AG163">
        <f>IF(AND(D163&lt;&gt;"",ISNUMBER(R163)),1,0)</f>
        <v>0</v>
      </c>
      <c r="AH163">
        <f>IF(AG163=0,0,IF(OR('Panel'!$D$5="Todas las cuentas",'Panel'!$D$5="",F163='Panel'!$D$5),1,0))</f>
        <v>0</v>
      </c>
      <c r="AI163">
        <f>IF(AH163=0,0,IF(AND(OR('Panel'!$G$5="",D163&gt;='Panel'!$G$5),OR('Panel'!$J$5="",D163&lt;='Panel'!$J$5)),1,0))</f>
        <v>0</v>
      </c>
      <c r="AJ163">
        <f>IF(AI163=1,R163,0)</f>
        <v>0</v>
      </c>
      <c r="AK163" t="str">
        <f>IF(AI163=1,'Panel'!$AB$4+SUM($AJ$5:AJ163),"")</f>
        <v/>
      </c>
      <c r="AL163">
        <f>IF(AI163=0,N(AL162),IF(R163&lt;0,N(AL162)+1,0))</f>
        <v>1</v>
      </c>
      <c r="AM163">
        <f>IF(AI163=0,N(AM162),IF(R163&gt;0,N(AM162)+1,0))</f>
        <v>0</v>
      </c>
      <c r="AN163">
        <f>IF(AI163=1,MAX('Panel'!$AB$4,N(AN162),AK163),N(AN162))</f>
        <v>21371.061500000033</v>
      </c>
      <c r="AO163">
        <f>IF(AI163=1,AN163-AK163,0)</f>
        <v>0</v>
      </c>
      <c r="AP163">
        <f>IF(AND(AI163=1,AN163&gt;0),AO163/AN163,0)</f>
        <v>0</v>
      </c>
      <c r="AQ163" t="str">
        <f>IF(AI163=1,SUM($AI$5:AI163),"")</f>
        <v/>
      </c>
      <c r="AR163" t="str">
        <f>IF(AI163=1,IF(COUNTIFS($D$5:D163,D163,$AI$5:AI163,1)=1,SUMIFS($AJ$5:$AJ$504,$D$5:$D$504,D163),""),"")</f>
        <v/>
      </c>
      <c r="AS163" t="str">
        <f>IF(AG163=1,WEEKDAY(D163,2),"")</f>
        <v/>
      </c>
      <c r="AT163" s="31" t="str">
        <f>IF(AG163=1,DATE(YEAR(D163),MONTH(D163),1),"")</f>
        <v/>
      </c>
      <c r="AU163">
        <f>IF(AG163=0,0,IF(AND(OR('Prop challenge'!$D$7="",F163='Prop challenge'!$D$7),OR('Prop challenge'!$D$9="",D163&gt;='Prop challenge'!$D$9)),1,0))</f>
        <v>0</v>
      </c>
      <c r="AV163">
        <f>IF(AU163=1,IF(COUNTIFS($D$5:D163,D163,$AU$5:AU163,1)=1,1,0),0)</f>
        <v>0</v>
      </c>
      <c r="AW163" t="str">
        <f>IF(AV163=1,SUM($AV$5:AV163),"")</f>
        <v/>
      </c>
      <c r="AX163" t="str">
        <f>IF(AV163=1,SUMIFS($R$5:$R$504,$D$5:$D$504,D163,$AU$5:$AU$504,1),"")</f>
        <v/>
      </c>
    </row>
    <row r="164">
      <c r="A164" s="20" t="str">
        <f>IF(AG164=1,ROW()-4,"")</f>
        <v/>
      </c>
      <c r="B164" s="21" t="n"/>
      <c r="C164" s="22" t="n"/>
      <c r="D164" s="21" t="n"/>
      <c r="E164" s="22" t="n"/>
      <c r="F164" s="23" t="n"/>
      <c r="G164" s="23" t="n"/>
      <c r="H164" s="23" t="n"/>
      <c r="I164" s="24" t="n"/>
      <c r="J164" s="25" t="n"/>
      <c r="K164" s="25" t="n"/>
      <c r="L164" s="25" t="n"/>
      <c r="M164" s="25" t="n"/>
      <c r="N164" s="26" t="n"/>
      <c r="O164" s="26" t="n"/>
      <c r="P164" s="27" t="str">
        <f>IF(OR(J164="",K164="",I164="",AF164=0,AD164=""),"",(K164-J164)*AF164*I164*AD164*AE164)</f>
        <v/>
      </c>
      <c r="Q164" s="26" t="n"/>
      <c r="R164" s="28" t="str">
        <f>IF(Q164&lt;&gt;"",Q164,IF(P164="","",P164-N(N164)+N(O164)))</f>
        <v/>
      </c>
      <c r="S164" s="27" t="str">
        <f>IF(OR(L164="",J164="",I164="",AD164=""),"",ABS(J164-L164)*I164*AD164*AE164)</f>
        <v/>
      </c>
      <c r="T164" s="29" t="str">
        <f>IF(OR(R164="",S164="",S164=0),"",R164/S164)</f>
        <v/>
      </c>
      <c r="U164" s="20" t="str">
        <f>IF(R164="","",IF(R164&gt;0,"Ganadora",IF(R164&lt;0,"Perdedora","BE")))</f>
        <v/>
      </c>
      <c r="V164" s="23" t="n"/>
      <c r="W164" s="23" t="n"/>
      <c r="X164" s="23" t="n"/>
      <c r="Y164" s="23" t="n"/>
      <c r="Z164" s="23" t="n"/>
      <c r="AA164" s="23" t="n"/>
      <c r="AB164" s="30" t="n"/>
      <c r="AC164" s="1" t="n"/>
      <c r="AD164" s="1" t="str">
        <f>IF(G164="","",IFERROR(INDEX('Listas'!$N$6:$N$35,MATCH(G164,'Listas'!$M$6:$M$35,0)),""))</f>
        <v/>
      </c>
      <c r="AE164">
        <f>IF(G164="",1,IFERROR(INDEX('Listas'!$P$6:$P$35,MATCH(G164,'Listas'!$M$6:$M$35,0)),1))</f>
        <v>1</v>
      </c>
      <c r="AF164">
        <f>IF(H164="Compra",1,IF(H164="Venta",-1,0))</f>
        <v>0</v>
      </c>
      <c r="AG164">
        <f>IF(AND(D164&lt;&gt;"",ISNUMBER(R164)),1,0)</f>
        <v>0</v>
      </c>
      <c r="AH164">
        <f>IF(AG164=0,0,IF(OR('Panel'!$D$5="Todas las cuentas",'Panel'!$D$5="",F164='Panel'!$D$5),1,0))</f>
        <v>0</v>
      </c>
      <c r="AI164">
        <f>IF(AH164=0,0,IF(AND(OR('Panel'!$G$5="",D164&gt;='Panel'!$G$5),OR('Panel'!$J$5="",D164&lt;='Panel'!$J$5)),1,0))</f>
        <v>0</v>
      </c>
      <c r="AJ164">
        <f>IF(AI164=1,R164,0)</f>
        <v>0</v>
      </c>
      <c r="AK164" t="str">
        <f>IF(AI164=1,'Panel'!$AB$4+SUM($AJ$5:AJ164),"")</f>
        <v/>
      </c>
      <c r="AL164">
        <f>IF(AI164=0,N(AL163),IF(R164&lt;0,N(AL163)+1,0))</f>
        <v>1</v>
      </c>
      <c r="AM164">
        <f>IF(AI164=0,N(AM163),IF(R164&gt;0,N(AM163)+1,0))</f>
        <v>0</v>
      </c>
      <c r="AN164">
        <f>IF(AI164=1,MAX('Panel'!$AB$4,N(AN163),AK164),N(AN163))</f>
        <v>21371.061500000033</v>
      </c>
      <c r="AO164">
        <f>IF(AI164=1,AN164-AK164,0)</f>
        <v>0</v>
      </c>
      <c r="AP164">
        <f>IF(AND(AI164=1,AN164&gt;0),AO164/AN164,0)</f>
        <v>0</v>
      </c>
      <c r="AQ164" t="str">
        <f>IF(AI164=1,SUM($AI$5:AI164),"")</f>
        <v/>
      </c>
      <c r="AR164" t="str">
        <f>IF(AI164=1,IF(COUNTIFS($D$5:D164,D164,$AI$5:AI164,1)=1,SUMIFS($AJ$5:$AJ$504,$D$5:$D$504,D164),""),"")</f>
        <v/>
      </c>
      <c r="AS164" t="str">
        <f>IF(AG164=1,WEEKDAY(D164,2),"")</f>
        <v/>
      </c>
      <c r="AT164" s="31" t="str">
        <f>IF(AG164=1,DATE(YEAR(D164),MONTH(D164),1),"")</f>
        <v/>
      </c>
      <c r="AU164">
        <f>IF(AG164=0,0,IF(AND(OR('Prop challenge'!$D$7="",F164='Prop challenge'!$D$7),OR('Prop challenge'!$D$9="",D164&gt;='Prop challenge'!$D$9)),1,0))</f>
        <v>0</v>
      </c>
      <c r="AV164">
        <f>IF(AU164=1,IF(COUNTIFS($D$5:D164,D164,$AU$5:AU164,1)=1,1,0),0)</f>
        <v>0</v>
      </c>
      <c r="AW164" t="str">
        <f>IF(AV164=1,SUM($AV$5:AV164),"")</f>
        <v/>
      </c>
      <c r="AX164" t="str">
        <f>IF(AV164=1,SUMIFS($R$5:$R$504,$D$5:$D$504,D164,$AU$5:$AU$504,1),"")</f>
        <v/>
      </c>
    </row>
    <row r="165">
      <c r="A165" s="20" t="str">
        <f>IF(AG165=1,ROW()-4,"")</f>
        <v/>
      </c>
      <c r="B165" s="21" t="n"/>
      <c r="C165" s="22" t="n"/>
      <c r="D165" s="21" t="n"/>
      <c r="E165" s="22" t="n"/>
      <c r="F165" s="23" t="n"/>
      <c r="G165" s="23" t="n"/>
      <c r="H165" s="23" t="n"/>
      <c r="I165" s="24" t="n"/>
      <c r="J165" s="25" t="n"/>
      <c r="K165" s="25" t="n"/>
      <c r="L165" s="25" t="n"/>
      <c r="M165" s="25" t="n"/>
      <c r="N165" s="26" t="n"/>
      <c r="O165" s="26" t="n"/>
      <c r="P165" s="27" t="str">
        <f>IF(OR(J165="",K165="",I165="",AF165=0,AD165=""),"",(K165-J165)*AF165*I165*AD165*AE165)</f>
        <v/>
      </c>
      <c r="Q165" s="26" t="n"/>
      <c r="R165" s="28" t="str">
        <f>IF(Q165&lt;&gt;"",Q165,IF(P165="","",P165-N(N165)+N(O165)))</f>
        <v/>
      </c>
      <c r="S165" s="27" t="str">
        <f>IF(OR(L165="",J165="",I165="",AD165=""),"",ABS(J165-L165)*I165*AD165*AE165)</f>
        <v/>
      </c>
      <c r="T165" s="29" t="str">
        <f>IF(OR(R165="",S165="",S165=0),"",R165/S165)</f>
        <v/>
      </c>
      <c r="U165" s="20" t="str">
        <f>IF(R165="","",IF(R165&gt;0,"Ganadora",IF(R165&lt;0,"Perdedora","BE")))</f>
        <v/>
      </c>
      <c r="V165" s="23" t="n"/>
      <c r="W165" s="23" t="n"/>
      <c r="X165" s="23" t="n"/>
      <c r="Y165" s="23" t="n"/>
      <c r="Z165" s="23" t="n"/>
      <c r="AA165" s="23" t="n"/>
      <c r="AB165" s="30" t="n"/>
      <c r="AC165" s="1" t="n"/>
      <c r="AD165" s="1" t="str">
        <f>IF(G165="","",IFERROR(INDEX('Listas'!$N$6:$N$35,MATCH(G165,'Listas'!$M$6:$M$35,0)),""))</f>
        <v/>
      </c>
      <c r="AE165">
        <f>IF(G165="",1,IFERROR(INDEX('Listas'!$P$6:$P$35,MATCH(G165,'Listas'!$M$6:$M$35,0)),1))</f>
        <v>1</v>
      </c>
      <c r="AF165">
        <f>IF(H165="Compra",1,IF(H165="Venta",-1,0))</f>
        <v>0</v>
      </c>
      <c r="AG165">
        <f>IF(AND(D165&lt;&gt;"",ISNUMBER(R165)),1,0)</f>
        <v>0</v>
      </c>
      <c r="AH165">
        <f>IF(AG165=0,0,IF(OR('Panel'!$D$5="Todas las cuentas",'Panel'!$D$5="",F165='Panel'!$D$5),1,0))</f>
        <v>0</v>
      </c>
      <c r="AI165">
        <f>IF(AH165=0,0,IF(AND(OR('Panel'!$G$5="",D165&gt;='Panel'!$G$5),OR('Panel'!$J$5="",D165&lt;='Panel'!$J$5)),1,0))</f>
        <v>0</v>
      </c>
      <c r="AJ165">
        <f>IF(AI165=1,R165,0)</f>
        <v>0</v>
      </c>
      <c r="AK165" t="str">
        <f>IF(AI165=1,'Panel'!$AB$4+SUM($AJ$5:AJ165),"")</f>
        <v/>
      </c>
      <c r="AL165">
        <f>IF(AI165=0,N(AL164),IF(R165&lt;0,N(AL164)+1,0))</f>
        <v>1</v>
      </c>
      <c r="AM165">
        <f>IF(AI165=0,N(AM164),IF(R165&gt;0,N(AM164)+1,0))</f>
        <v>0</v>
      </c>
      <c r="AN165">
        <f>IF(AI165=1,MAX('Panel'!$AB$4,N(AN164),AK165),N(AN164))</f>
        <v>21371.061500000033</v>
      </c>
      <c r="AO165">
        <f>IF(AI165=1,AN165-AK165,0)</f>
        <v>0</v>
      </c>
      <c r="AP165">
        <f>IF(AND(AI165=1,AN165&gt;0),AO165/AN165,0)</f>
        <v>0</v>
      </c>
      <c r="AQ165" t="str">
        <f>IF(AI165=1,SUM($AI$5:AI165),"")</f>
        <v/>
      </c>
      <c r="AR165" t="str">
        <f>IF(AI165=1,IF(COUNTIFS($D$5:D165,D165,$AI$5:AI165,1)=1,SUMIFS($AJ$5:$AJ$504,$D$5:$D$504,D165),""),"")</f>
        <v/>
      </c>
      <c r="AS165" t="str">
        <f>IF(AG165=1,WEEKDAY(D165,2),"")</f>
        <v/>
      </c>
      <c r="AT165" s="31" t="str">
        <f>IF(AG165=1,DATE(YEAR(D165),MONTH(D165),1),"")</f>
        <v/>
      </c>
      <c r="AU165">
        <f>IF(AG165=0,0,IF(AND(OR('Prop challenge'!$D$7="",F165='Prop challenge'!$D$7),OR('Prop challenge'!$D$9="",D165&gt;='Prop challenge'!$D$9)),1,0))</f>
        <v>0</v>
      </c>
      <c r="AV165">
        <f>IF(AU165=1,IF(COUNTIFS($D$5:D165,D165,$AU$5:AU165,1)=1,1,0),0)</f>
        <v>0</v>
      </c>
      <c r="AW165" t="str">
        <f>IF(AV165=1,SUM($AV$5:AV165),"")</f>
        <v/>
      </c>
      <c r="AX165" t="str">
        <f>IF(AV165=1,SUMIFS($R$5:$R$504,$D$5:$D$504,D165,$AU$5:$AU$504,1),"")</f>
        <v/>
      </c>
    </row>
    <row r="166">
      <c r="A166" s="20" t="str">
        <f>IF(AG166=1,ROW()-4,"")</f>
        <v/>
      </c>
      <c r="B166" s="21" t="n"/>
      <c r="C166" s="22" t="n"/>
      <c r="D166" s="21" t="n"/>
      <c r="E166" s="22" t="n"/>
      <c r="F166" s="23" t="n"/>
      <c r="G166" s="23" t="n"/>
      <c r="H166" s="23" t="n"/>
      <c r="I166" s="24" t="n"/>
      <c r="J166" s="25" t="n"/>
      <c r="K166" s="25" t="n"/>
      <c r="L166" s="25" t="n"/>
      <c r="M166" s="25" t="n"/>
      <c r="N166" s="26" t="n"/>
      <c r="O166" s="26" t="n"/>
      <c r="P166" s="27" t="str">
        <f>IF(OR(J166="",K166="",I166="",AF166=0,AD166=""),"",(K166-J166)*AF166*I166*AD166*AE166)</f>
        <v/>
      </c>
      <c r="Q166" s="26" t="n"/>
      <c r="R166" s="28" t="str">
        <f>IF(Q166&lt;&gt;"",Q166,IF(P166="","",P166-N(N166)+N(O166)))</f>
        <v/>
      </c>
      <c r="S166" s="27" t="str">
        <f>IF(OR(L166="",J166="",I166="",AD166=""),"",ABS(J166-L166)*I166*AD166*AE166)</f>
        <v/>
      </c>
      <c r="T166" s="29" t="str">
        <f>IF(OR(R166="",S166="",S166=0),"",R166/S166)</f>
        <v/>
      </c>
      <c r="U166" s="20" t="str">
        <f>IF(R166="","",IF(R166&gt;0,"Ganadora",IF(R166&lt;0,"Perdedora","BE")))</f>
        <v/>
      </c>
      <c r="V166" s="23" t="n"/>
      <c r="W166" s="23" t="n"/>
      <c r="X166" s="23" t="n"/>
      <c r="Y166" s="23" t="n"/>
      <c r="Z166" s="23" t="n"/>
      <c r="AA166" s="23" t="n"/>
      <c r="AB166" s="30" t="n"/>
      <c r="AC166" s="1" t="n"/>
      <c r="AD166" s="1" t="str">
        <f>IF(G166="","",IFERROR(INDEX('Listas'!$N$6:$N$35,MATCH(G166,'Listas'!$M$6:$M$35,0)),""))</f>
        <v/>
      </c>
      <c r="AE166">
        <f>IF(G166="",1,IFERROR(INDEX('Listas'!$P$6:$P$35,MATCH(G166,'Listas'!$M$6:$M$35,0)),1))</f>
        <v>1</v>
      </c>
      <c r="AF166">
        <f>IF(H166="Compra",1,IF(H166="Venta",-1,0))</f>
        <v>0</v>
      </c>
      <c r="AG166">
        <f>IF(AND(D166&lt;&gt;"",ISNUMBER(R166)),1,0)</f>
        <v>0</v>
      </c>
      <c r="AH166">
        <f>IF(AG166=0,0,IF(OR('Panel'!$D$5="Todas las cuentas",'Panel'!$D$5="",F166='Panel'!$D$5),1,0))</f>
        <v>0</v>
      </c>
      <c r="AI166">
        <f>IF(AH166=0,0,IF(AND(OR('Panel'!$G$5="",D166&gt;='Panel'!$G$5),OR('Panel'!$J$5="",D166&lt;='Panel'!$J$5)),1,0))</f>
        <v>0</v>
      </c>
      <c r="AJ166">
        <f>IF(AI166=1,R166,0)</f>
        <v>0</v>
      </c>
      <c r="AK166" t="str">
        <f>IF(AI166=1,'Panel'!$AB$4+SUM($AJ$5:AJ166),"")</f>
        <v/>
      </c>
      <c r="AL166">
        <f>IF(AI166=0,N(AL165),IF(R166&lt;0,N(AL165)+1,0))</f>
        <v>1</v>
      </c>
      <c r="AM166">
        <f>IF(AI166=0,N(AM165),IF(R166&gt;0,N(AM165)+1,0))</f>
        <v>0</v>
      </c>
      <c r="AN166">
        <f>IF(AI166=1,MAX('Panel'!$AB$4,N(AN165),AK166),N(AN165))</f>
        <v>21371.061500000033</v>
      </c>
      <c r="AO166">
        <f>IF(AI166=1,AN166-AK166,0)</f>
        <v>0</v>
      </c>
      <c r="AP166">
        <f>IF(AND(AI166=1,AN166&gt;0),AO166/AN166,0)</f>
        <v>0</v>
      </c>
      <c r="AQ166" t="str">
        <f>IF(AI166=1,SUM($AI$5:AI166),"")</f>
        <v/>
      </c>
      <c r="AR166" t="str">
        <f>IF(AI166=1,IF(COUNTIFS($D$5:D166,D166,$AI$5:AI166,1)=1,SUMIFS($AJ$5:$AJ$504,$D$5:$D$504,D166),""),"")</f>
        <v/>
      </c>
      <c r="AS166" t="str">
        <f>IF(AG166=1,WEEKDAY(D166,2),"")</f>
        <v/>
      </c>
      <c r="AT166" s="31" t="str">
        <f>IF(AG166=1,DATE(YEAR(D166),MONTH(D166),1),"")</f>
        <v/>
      </c>
      <c r="AU166">
        <f>IF(AG166=0,0,IF(AND(OR('Prop challenge'!$D$7="",F166='Prop challenge'!$D$7),OR('Prop challenge'!$D$9="",D166&gt;='Prop challenge'!$D$9)),1,0))</f>
        <v>0</v>
      </c>
      <c r="AV166">
        <f>IF(AU166=1,IF(COUNTIFS($D$5:D166,D166,$AU$5:AU166,1)=1,1,0),0)</f>
        <v>0</v>
      </c>
      <c r="AW166" t="str">
        <f>IF(AV166=1,SUM($AV$5:AV166),"")</f>
        <v/>
      </c>
      <c r="AX166" t="str">
        <f>IF(AV166=1,SUMIFS($R$5:$R$504,$D$5:$D$504,D166,$AU$5:$AU$504,1),"")</f>
        <v/>
      </c>
    </row>
    <row r="167">
      <c r="A167" s="20" t="str">
        <f>IF(AG167=1,ROW()-4,"")</f>
        <v/>
      </c>
      <c r="B167" s="21" t="n"/>
      <c r="C167" s="22" t="n"/>
      <c r="D167" s="21" t="n"/>
      <c r="E167" s="22" t="n"/>
      <c r="F167" s="23" t="n"/>
      <c r="G167" s="23" t="n"/>
      <c r="H167" s="23" t="n"/>
      <c r="I167" s="24" t="n"/>
      <c r="J167" s="25" t="n"/>
      <c r="K167" s="25" t="n"/>
      <c r="L167" s="25" t="n"/>
      <c r="M167" s="25" t="n"/>
      <c r="N167" s="26" t="n"/>
      <c r="O167" s="26" t="n"/>
      <c r="P167" s="27" t="str">
        <f>IF(OR(J167="",K167="",I167="",AF167=0,AD167=""),"",(K167-J167)*AF167*I167*AD167*AE167)</f>
        <v/>
      </c>
      <c r="Q167" s="26" t="n"/>
      <c r="R167" s="28" t="str">
        <f>IF(Q167&lt;&gt;"",Q167,IF(P167="","",P167-N(N167)+N(O167)))</f>
        <v/>
      </c>
      <c r="S167" s="27" t="str">
        <f>IF(OR(L167="",J167="",I167="",AD167=""),"",ABS(J167-L167)*I167*AD167*AE167)</f>
        <v/>
      </c>
      <c r="T167" s="29" t="str">
        <f>IF(OR(R167="",S167="",S167=0),"",R167/S167)</f>
        <v/>
      </c>
      <c r="U167" s="20" t="str">
        <f>IF(R167="","",IF(R167&gt;0,"Ganadora",IF(R167&lt;0,"Perdedora","BE")))</f>
        <v/>
      </c>
      <c r="V167" s="23" t="n"/>
      <c r="W167" s="23" t="n"/>
      <c r="X167" s="23" t="n"/>
      <c r="Y167" s="23" t="n"/>
      <c r="Z167" s="23" t="n"/>
      <c r="AA167" s="23" t="n"/>
      <c r="AB167" s="30" t="n"/>
      <c r="AC167" s="1" t="n"/>
      <c r="AD167" s="1" t="str">
        <f>IF(G167="","",IFERROR(INDEX('Listas'!$N$6:$N$35,MATCH(G167,'Listas'!$M$6:$M$35,0)),""))</f>
        <v/>
      </c>
      <c r="AE167">
        <f>IF(G167="",1,IFERROR(INDEX('Listas'!$P$6:$P$35,MATCH(G167,'Listas'!$M$6:$M$35,0)),1))</f>
        <v>1</v>
      </c>
      <c r="AF167">
        <f>IF(H167="Compra",1,IF(H167="Venta",-1,0))</f>
        <v>0</v>
      </c>
      <c r="AG167">
        <f>IF(AND(D167&lt;&gt;"",ISNUMBER(R167)),1,0)</f>
        <v>0</v>
      </c>
      <c r="AH167">
        <f>IF(AG167=0,0,IF(OR('Panel'!$D$5="Todas las cuentas",'Panel'!$D$5="",F167='Panel'!$D$5),1,0))</f>
        <v>0</v>
      </c>
      <c r="AI167">
        <f>IF(AH167=0,0,IF(AND(OR('Panel'!$G$5="",D167&gt;='Panel'!$G$5),OR('Panel'!$J$5="",D167&lt;='Panel'!$J$5)),1,0))</f>
        <v>0</v>
      </c>
      <c r="AJ167">
        <f>IF(AI167=1,R167,0)</f>
        <v>0</v>
      </c>
      <c r="AK167" t="str">
        <f>IF(AI167=1,'Panel'!$AB$4+SUM($AJ$5:AJ167),"")</f>
        <v/>
      </c>
      <c r="AL167">
        <f>IF(AI167=0,N(AL166),IF(R167&lt;0,N(AL166)+1,0))</f>
        <v>1</v>
      </c>
      <c r="AM167">
        <f>IF(AI167=0,N(AM166),IF(R167&gt;0,N(AM166)+1,0))</f>
        <v>0</v>
      </c>
      <c r="AN167">
        <f>IF(AI167=1,MAX('Panel'!$AB$4,N(AN166),AK167),N(AN166))</f>
        <v>21371.061500000033</v>
      </c>
      <c r="AO167">
        <f>IF(AI167=1,AN167-AK167,0)</f>
        <v>0</v>
      </c>
      <c r="AP167">
        <f>IF(AND(AI167=1,AN167&gt;0),AO167/AN167,0)</f>
        <v>0</v>
      </c>
      <c r="AQ167" t="str">
        <f>IF(AI167=1,SUM($AI$5:AI167),"")</f>
        <v/>
      </c>
      <c r="AR167" t="str">
        <f>IF(AI167=1,IF(COUNTIFS($D$5:D167,D167,$AI$5:AI167,1)=1,SUMIFS($AJ$5:$AJ$504,$D$5:$D$504,D167),""),"")</f>
        <v/>
      </c>
      <c r="AS167" t="str">
        <f>IF(AG167=1,WEEKDAY(D167,2),"")</f>
        <v/>
      </c>
      <c r="AT167" s="31" t="str">
        <f>IF(AG167=1,DATE(YEAR(D167),MONTH(D167),1),"")</f>
        <v/>
      </c>
      <c r="AU167">
        <f>IF(AG167=0,0,IF(AND(OR('Prop challenge'!$D$7="",F167='Prop challenge'!$D$7),OR('Prop challenge'!$D$9="",D167&gt;='Prop challenge'!$D$9)),1,0))</f>
        <v>0</v>
      </c>
      <c r="AV167">
        <f>IF(AU167=1,IF(COUNTIFS($D$5:D167,D167,$AU$5:AU167,1)=1,1,0),0)</f>
        <v>0</v>
      </c>
      <c r="AW167" t="str">
        <f>IF(AV167=1,SUM($AV$5:AV167),"")</f>
        <v/>
      </c>
      <c r="AX167" t="str">
        <f>IF(AV167=1,SUMIFS($R$5:$R$504,$D$5:$D$504,D167,$AU$5:$AU$504,1),"")</f>
        <v/>
      </c>
    </row>
    <row r="168">
      <c r="A168" s="20" t="str">
        <f>IF(AG168=1,ROW()-4,"")</f>
        <v/>
      </c>
      <c r="B168" s="21" t="n"/>
      <c r="C168" s="22" t="n"/>
      <c r="D168" s="21" t="n"/>
      <c r="E168" s="22" t="n"/>
      <c r="F168" s="23" t="n"/>
      <c r="G168" s="23" t="n"/>
      <c r="H168" s="23" t="n"/>
      <c r="I168" s="24" t="n"/>
      <c r="J168" s="25" t="n"/>
      <c r="K168" s="25" t="n"/>
      <c r="L168" s="25" t="n"/>
      <c r="M168" s="25" t="n"/>
      <c r="N168" s="26" t="n"/>
      <c r="O168" s="26" t="n"/>
      <c r="P168" s="27" t="str">
        <f>IF(OR(J168="",K168="",I168="",AF168=0,AD168=""),"",(K168-J168)*AF168*I168*AD168*AE168)</f>
        <v/>
      </c>
      <c r="Q168" s="26" t="n"/>
      <c r="R168" s="28" t="str">
        <f>IF(Q168&lt;&gt;"",Q168,IF(P168="","",P168-N(N168)+N(O168)))</f>
        <v/>
      </c>
      <c r="S168" s="27" t="str">
        <f>IF(OR(L168="",J168="",I168="",AD168=""),"",ABS(J168-L168)*I168*AD168*AE168)</f>
        <v/>
      </c>
      <c r="T168" s="29" t="str">
        <f>IF(OR(R168="",S168="",S168=0),"",R168/S168)</f>
        <v/>
      </c>
      <c r="U168" s="20" t="str">
        <f>IF(R168="","",IF(R168&gt;0,"Ganadora",IF(R168&lt;0,"Perdedora","BE")))</f>
        <v/>
      </c>
      <c r="V168" s="23" t="n"/>
      <c r="W168" s="23" t="n"/>
      <c r="X168" s="23" t="n"/>
      <c r="Y168" s="23" t="n"/>
      <c r="Z168" s="23" t="n"/>
      <c r="AA168" s="23" t="n"/>
      <c r="AB168" s="30" t="n"/>
      <c r="AC168" s="1" t="n"/>
      <c r="AD168" s="1" t="str">
        <f>IF(G168="","",IFERROR(INDEX('Listas'!$N$6:$N$35,MATCH(G168,'Listas'!$M$6:$M$35,0)),""))</f>
        <v/>
      </c>
      <c r="AE168">
        <f>IF(G168="",1,IFERROR(INDEX('Listas'!$P$6:$P$35,MATCH(G168,'Listas'!$M$6:$M$35,0)),1))</f>
        <v>1</v>
      </c>
      <c r="AF168">
        <f>IF(H168="Compra",1,IF(H168="Venta",-1,0))</f>
        <v>0</v>
      </c>
      <c r="AG168">
        <f>IF(AND(D168&lt;&gt;"",ISNUMBER(R168)),1,0)</f>
        <v>0</v>
      </c>
      <c r="AH168">
        <f>IF(AG168=0,0,IF(OR('Panel'!$D$5="Todas las cuentas",'Panel'!$D$5="",F168='Panel'!$D$5),1,0))</f>
        <v>0</v>
      </c>
      <c r="AI168">
        <f>IF(AH168=0,0,IF(AND(OR('Panel'!$G$5="",D168&gt;='Panel'!$G$5),OR('Panel'!$J$5="",D168&lt;='Panel'!$J$5)),1,0))</f>
        <v>0</v>
      </c>
      <c r="AJ168">
        <f>IF(AI168=1,R168,0)</f>
        <v>0</v>
      </c>
      <c r="AK168" t="str">
        <f>IF(AI168=1,'Panel'!$AB$4+SUM($AJ$5:AJ168),"")</f>
        <v/>
      </c>
      <c r="AL168">
        <f>IF(AI168=0,N(AL167),IF(R168&lt;0,N(AL167)+1,0))</f>
        <v>1</v>
      </c>
      <c r="AM168">
        <f>IF(AI168=0,N(AM167),IF(R168&gt;0,N(AM167)+1,0))</f>
        <v>0</v>
      </c>
      <c r="AN168">
        <f>IF(AI168=1,MAX('Panel'!$AB$4,N(AN167),AK168),N(AN167))</f>
        <v>21371.061500000033</v>
      </c>
      <c r="AO168">
        <f>IF(AI168=1,AN168-AK168,0)</f>
        <v>0</v>
      </c>
      <c r="AP168">
        <f>IF(AND(AI168=1,AN168&gt;0),AO168/AN168,0)</f>
        <v>0</v>
      </c>
      <c r="AQ168" t="str">
        <f>IF(AI168=1,SUM($AI$5:AI168),"")</f>
        <v/>
      </c>
      <c r="AR168" t="str">
        <f>IF(AI168=1,IF(COUNTIFS($D$5:D168,D168,$AI$5:AI168,1)=1,SUMIFS($AJ$5:$AJ$504,$D$5:$D$504,D168),""),"")</f>
        <v/>
      </c>
      <c r="AS168" t="str">
        <f>IF(AG168=1,WEEKDAY(D168,2),"")</f>
        <v/>
      </c>
      <c r="AT168" s="31" t="str">
        <f>IF(AG168=1,DATE(YEAR(D168),MONTH(D168),1),"")</f>
        <v/>
      </c>
      <c r="AU168">
        <f>IF(AG168=0,0,IF(AND(OR('Prop challenge'!$D$7="",F168='Prop challenge'!$D$7),OR('Prop challenge'!$D$9="",D168&gt;='Prop challenge'!$D$9)),1,0))</f>
        <v>0</v>
      </c>
      <c r="AV168">
        <f>IF(AU168=1,IF(COUNTIFS($D$5:D168,D168,$AU$5:AU168,1)=1,1,0),0)</f>
        <v>0</v>
      </c>
      <c r="AW168" t="str">
        <f>IF(AV168=1,SUM($AV$5:AV168),"")</f>
        <v/>
      </c>
      <c r="AX168" t="str">
        <f>IF(AV168=1,SUMIFS($R$5:$R$504,$D$5:$D$504,D168,$AU$5:$AU$504,1),"")</f>
        <v/>
      </c>
    </row>
    <row r="169">
      <c r="A169" s="20" t="str">
        <f>IF(AG169=1,ROW()-4,"")</f>
        <v/>
      </c>
      <c r="B169" s="21" t="n"/>
      <c r="C169" s="22" t="n"/>
      <c r="D169" s="21" t="n"/>
      <c r="E169" s="22" t="n"/>
      <c r="F169" s="23" t="n"/>
      <c r="G169" s="23" t="n"/>
      <c r="H169" s="23" t="n"/>
      <c r="I169" s="24" t="n"/>
      <c r="J169" s="25" t="n"/>
      <c r="K169" s="25" t="n"/>
      <c r="L169" s="25" t="n"/>
      <c r="M169" s="25" t="n"/>
      <c r="N169" s="26" t="n"/>
      <c r="O169" s="26" t="n"/>
      <c r="P169" s="27" t="str">
        <f>IF(OR(J169="",K169="",I169="",AF169=0,AD169=""),"",(K169-J169)*AF169*I169*AD169*AE169)</f>
        <v/>
      </c>
      <c r="Q169" s="26" t="n"/>
      <c r="R169" s="28" t="str">
        <f>IF(Q169&lt;&gt;"",Q169,IF(P169="","",P169-N(N169)+N(O169)))</f>
        <v/>
      </c>
      <c r="S169" s="27" t="str">
        <f>IF(OR(L169="",J169="",I169="",AD169=""),"",ABS(J169-L169)*I169*AD169*AE169)</f>
        <v/>
      </c>
      <c r="T169" s="29" t="str">
        <f>IF(OR(R169="",S169="",S169=0),"",R169/S169)</f>
        <v/>
      </c>
      <c r="U169" s="20" t="str">
        <f>IF(R169="","",IF(R169&gt;0,"Ganadora",IF(R169&lt;0,"Perdedora","BE")))</f>
        <v/>
      </c>
      <c r="V169" s="23" t="n"/>
      <c r="W169" s="23" t="n"/>
      <c r="X169" s="23" t="n"/>
      <c r="Y169" s="23" t="n"/>
      <c r="Z169" s="23" t="n"/>
      <c r="AA169" s="23" t="n"/>
      <c r="AB169" s="30" t="n"/>
      <c r="AC169" s="1" t="n"/>
      <c r="AD169" s="1" t="str">
        <f>IF(G169="","",IFERROR(INDEX('Listas'!$N$6:$N$35,MATCH(G169,'Listas'!$M$6:$M$35,0)),""))</f>
        <v/>
      </c>
      <c r="AE169">
        <f>IF(G169="",1,IFERROR(INDEX('Listas'!$P$6:$P$35,MATCH(G169,'Listas'!$M$6:$M$35,0)),1))</f>
        <v>1</v>
      </c>
      <c r="AF169">
        <f>IF(H169="Compra",1,IF(H169="Venta",-1,0))</f>
        <v>0</v>
      </c>
      <c r="AG169">
        <f>IF(AND(D169&lt;&gt;"",ISNUMBER(R169)),1,0)</f>
        <v>0</v>
      </c>
      <c r="AH169">
        <f>IF(AG169=0,0,IF(OR('Panel'!$D$5="Todas las cuentas",'Panel'!$D$5="",F169='Panel'!$D$5),1,0))</f>
        <v>0</v>
      </c>
      <c r="AI169">
        <f>IF(AH169=0,0,IF(AND(OR('Panel'!$G$5="",D169&gt;='Panel'!$G$5),OR('Panel'!$J$5="",D169&lt;='Panel'!$J$5)),1,0))</f>
        <v>0</v>
      </c>
      <c r="AJ169">
        <f>IF(AI169=1,R169,0)</f>
        <v>0</v>
      </c>
      <c r="AK169" t="str">
        <f>IF(AI169=1,'Panel'!$AB$4+SUM($AJ$5:AJ169),"")</f>
        <v/>
      </c>
      <c r="AL169">
        <f>IF(AI169=0,N(AL168),IF(R169&lt;0,N(AL168)+1,0))</f>
        <v>1</v>
      </c>
      <c r="AM169">
        <f>IF(AI169=0,N(AM168),IF(R169&gt;0,N(AM168)+1,0))</f>
        <v>0</v>
      </c>
      <c r="AN169">
        <f>IF(AI169=1,MAX('Panel'!$AB$4,N(AN168),AK169),N(AN168))</f>
        <v>21371.061500000033</v>
      </c>
      <c r="AO169">
        <f>IF(AI169=1,AN169-AK169,0)</f>
        <v>0</v>
      </c>
      <c r="AP169">
        <f>IF(AND(AI169=1,AN169&gt;0),AO169/AN169,0)</f>
        <v>0</v>
      </c>
      <c r="AQ169" t="str">
        <f>IF(AI169=1,SUM($AI$5:AI169),"")</f>
        <v/>
      </c>
      <c r="AR169" t="str">
        <f>IF(AI169=1,IF(COUNTIFS($D$5:D169,D169,$AI$5:AI169,1)=1,SUMIFS($AJ$5:$AJ$504,$D$5:$D$504,D169),""),"")</f>
        <v/>
      </c>
      <c r="AS169" t="str">
        <f>IF(AG169=1,WEEKDAY(D169,2),"")</f>
        <v/>
      </c>
      <c r="AT169" s="31" t="str">
        <f>IF(AG169=1,DATE(YEAR(D169),MONTH(D169),1),"")</f>
        <v/>
      </c>
      <c r="AU169">
        <f>IF(AG169=0,0,IF(AND(OR('Prop challenge'!$D$7="",F169='Prop challenge'!$D$7),OR('Prop challenge'!$D$9="",D169&gt;='Prop challenge'!$D$9)),1,0))</f>
        <v>0</v>
      </c>
      <c r="AV169">
        <f>IF(AU169=1,IF(COUNTIFS($D$5:D169,D169,$AU$5:AU169,1)=1,1,0),0)</f>
        <v>0</v>
      </c>
      <c r="AW169" t="str">
        <f>IF(AV169=1,SUM($AV$5:AV169),"")</f>
        <v/>
      </c>
      <c r="AX169" t="str">
        <f>IF(AV169=1,SUMIFS($R$5:$R$504,$D$5:$D$504,D169,$AU$5:$AU$504,1),"")</f>
        <v/>
      </c>
    </row>
    <row r="170">
      <c r="A170" s="20" t="str">
        <f>IF(AG170=1,ROW()-4,"")</f>
        <v/>
      </c>
      <c r="B170" s="21" t="n"/>
      <c r="C170" s="22" t="n"/>
      <c r="D170" s="21" t="n"/>
      <c r="E170" s="22" t="n"/>
      <c r="F170" s="23" t="n"/>
      <c r="G170" s="23" t="n"/>
      <c r="H170" s="23" t="n"/>
      <c r="I170" s="24" t="n"/>
      <c r="J170" s="25" t="n"/>
      <c r="K170" s="25" t="n"/>
      <c r="L170" s="25" t="n"/>
      <c r="M170" s="25" t="n"/>
      <c r="N170" s="26" t="n"/>
      <c r="O170" s="26" t="n"/>
      <c r="P170" s="27" t="str">
        <f>IF(OR(J170="",K170="",I170="",AF170=0,AD170=""),"",(K170-J170)*AF170*I170*AD170*AE170)</f>
        <v/>
      </c>
      <c r="Q170" s="26" t="n"/>
      <c r="R170" s="28" t="str">
        <f>IF(Q170&lt;&gt;"",Q170,IF(P170="","",P170-N(N170)+N(O170)))</f>
        <v/>
      </c>
      <c r="S170" s="27" t="str">
        <f>IF(OR(L170="",J170="",I170="",AD170=""),"",ABS(J170-L170)*I170*AD170*AE170)</f>
        <v/>
      </c>
      <c r="T170" s="29" t="str">
        <f>IF(OR(R170="",S170="",S170=0),"",R170/S170)</f>
        <v/>
      </c>
      <c r="U170" s="20" t="str">
        <f>IF(R170="","",IF(R170&gt;0,"Ganadora",IF(R170&lt;0,"Perdedora","BE")))</f>
        <v/>
      </c>
      <c r="V170" s="23" t="n"/>
      <c r="W170" s="23" t="n"/>
      <c r="X170" s="23" t="n"/>
      <c r="Y170" s="23" t="n"/>
      <c r="Z170" s="23" t="n"/>
      <c r="AA170" s="23" t="n"/>
      <c r="AB170" s="30" t="n"/>
      <c r="AC170" s="1" t="n"/>
      <c r="AD170" s="1" t="str">
        <f>IF(G170="","",IFERROR(INDEX('Listas'!$N$6:$N$35,MATCH(G170,'Listas'!$M$6:$M$35,0)),""))</f>
        <v/>
      </c>
      <c r="AE170">
        <f>IF(G170="",1,IFERROR(INDEX('Listas'!$P$6:$P$35,MATCH(G170,'Listas'!$M$6:$M$35,0)),1))</f>
        <v>1</v>
      </c>
      <c r="AF170">
        <f>IF(H170="Compra",1,IF(H170="Venta",-1,0))</f>
        <v>0</v>
      </c>
      <c r="AG170">
        <f>IF(AND(D170&lt;&gt;"",ISNUMBER(R170)),1,0)</f>
        <v>0</v>
      </c>
      <c r="AH170">
        <f>IF(AG170=0,0,IF(OR('Panel'!$D$5="Todas las cuentas",'Panel'!$D$5="",F170='Panel'!$D$5),1,0))</f>
        <v>0</v>
      </c>
      <c r="AI170">
        <f>IF(AH170=0,0,IF(AND(OR('Panel'!$G$5="",D170&gt;='Panel'!$G$5),OR('Panel'!$J$5="",D170&lt;='Panel'!$J$5)),1,0))</f>
        <v>0</v>
      </c>
      <c r="AJ170">
        <f>IF(AI170=1,R170,0)</f>
        <v>0</v>
      </c>
      <c r="AK170" t="str">
        <f>IF(AI170=1,'Panel'!$AB$4+SUM($AJ$5:AJ170),"")</f>
        <v/>
      </c>
      <c r="AL170">
        <f>IF(AI170=0,N(AL169),IF(R170&lt;0,N(AL169)+1,0))</f>
        <v>1</v>
      </c>
      <c r="AM170">
        <f>IF(AI170=0,N(AM169),IF(R170&gt;0,N(AM169)+1,0))</f>
        <v>0</v>
      </c>
      <c r="AN170">
        <f>IF(AI170=1,MAX('Panel'!$AB$4,N(AN169),AK170),N(AN169))</f>
        <v>21371.061500000033</v>
      </c>
      <c r="AO170">
        <f>IF(AI170=1,AN170-AK170,0)</f>
        <v>0</v>
      </c>
      <c r="AP170">
        <f>IF(AND(AI170=1,AN170&gt;0),AO170/AN170,0)</f>
        <v>0</v>
      </c>
      <c r="AQ170" t="str">
        <f>IF(AI170=1,SUM($AI$5:AI170),"")</f>
        <v/>
      </c>
      <c r="AR170" t="str">
        <f>IF(AI170=1,IF(COUNTIFS($D$5:D170,D170,$AI$5:AI170,1)=1,SUMIFS($AJ$5:$AJ$504,$D$5:$D$504,D170),""),"")</f>
        <v/>
      </c>
      <c r="AS170" t="str">
        <f>IF(AG170=1,WEEKDAY(D170,2),"")</f>
        <v/>
      </c>
      <c r="AT170" s="31" t="str">
        <f>IF(AG170=1,DATE(YEAR(D170),MONTH(D170),1),"")</f>
        <v/>
      </c>
      <c r="AU170">
        <f>IF(AG170=0,0,IF(AND(OR('Prop challenge'!$D$7="",F170='Prop challenge'!$D$7),OR('Prop challenge'!$D$9="",D170&gt;='Prop challenge'!$D$9)),1,0))</f>
        <v>0</v>
      </c>
      <c r="AV170">
        <f>IF(AU170=1,IF(COUNTIFS($D$5:D170,D170,$AU$5:AU170,1)=1,1,0),0)</f>
        <v>0</v>
      </c>
      <c r="AW170" t="str">
        <f>IF(AV170=1,SUM($AV$5:AV170),"")</f>
        <v/>
      </c>
      <c r="AX170" t="str">
        <f>IF(AV170=1,SUMIFS($R$5:$R$504,$D$5:$D$504,D170,$AU$5:$AU$504,1),"")</f>
        <v/>
      </c>
    </row>
    <row r="171">
      <c r="A171" s="20" t="str">
        <f>IF(AG171=1,ROW()-4,"")</f>
        <v/>
      </c>
      <c r="B171" s="21" t="n"/>
      <c r="C171" s="22" t="n"/>
      <c r="D171" s="21" t="n"/>
      <c r="E171" s="22" t="n"/>
      <c r="F171" s="23" t="n"/>
      <c r="G171" s="23" t="n"/>
      <c r="H171" s="23" t="n"/>
      <c r="I171" s="24" t="n"/>
      <c r="J171" s="25" t="n"/>
      <c r="K171" s="25" t="n"/>
      <c r="L171" s="25" t="n"/>
      <c r="M171" s="25" t="n"/>
      <c r="N171" s="26" t="n"/>
      <c r="O171" s="26" t="n"/>
      <c r="P171" s="27" t="str">
        <f>IF(OR(J171="",K171="",I171="",AF171=0,AD171=""),"",(K171-J171)*AF171*I171*AD171*AE171)</f>
        <v/>
      </c>
      <c r="Q171" s="26" t="n"/>
      <c r="R171" s="28" t="str">
        <f>IF(Q171&lt;&gt;"",Q171,IF(P171="","",P171-N(N171)+N(O171)))</f>
        <v/>
      </c>
      <c r="S171" s="27" t="str">
        <f>IF(OR(L171="",J171="",I171="",AD171=""),"",ABS(J171-L171)*I171*AD171*AE171)</f>
        <v/>
      </c>
      <c r="T171" s="29" t="str">
        <f>IF(OR(R171="",S171="",S171=0),"",R171/S171)</f>
        <v/>
      </c>
      <c r="U171" s="20" t="str">
        <f>IF(R171="","",IF(R171&gt;0,"Ganadora",IF(R171&lt;0,"Perdedora","BE")))</f>
        <v/>
      </c>
      <c r="V171" s="23" t="n"/>
      <c r="W171" s="23" t="n"/>
      <c r="X171" s="23" t="n"/>
      <c r="Y171" s="23" t="n"/>
      <c r="Z171" s="23" t="n"/>
      <c r="AA171" s="23" t="n"/>
      <c r="AB171" s="30" t="n"/>
      <c r="AC171" s="1" t="n"/>
      <c r="AD171" s="1" t="str">
        <f>IF(G171="","",IFERROR(INDEX('Listas'!$N$6:$N$35,MATCH(G171,'Listas'!$M$6:$M$35,0)),""))</f>
        <v/>
      </c>
      <c r="AE171">
        <f>IF(G171="",1,IFERROR(INDEX('Listas'!$P$6:$P$35,MATCH(G171,'Listas'!$M$6:$M$35,0)),1))</f>
        <v>1</v>
      </c>
      <c r="AF171">
        <f>IF(H171="Compra",1,IF(H171="Venta",-1,0))</f>
        <v>0</v>
      </c>
      <c r="AG171">
        <f>IF(AND(D171&lt;&gt;"",ISNUMBER(R171)),1,0)</f>
        <v>0</v>
      </c>
      <c r="AH171">
        <f>IF(AG171=0,0,IF(OR('Panel'!$D$5="Todas las cuentas",'Panel'!$D$5="",F171='Panel'!$D$5),1,0))</f>
        <v>0</v>
      </c>
      <c r="AI171">
        <f>IF(AH171=0,0,IF(AND(OR('Panel'!$G$5="",D171&gt;='Panel'!$G$5),OR('Panel'!$J$5="",D171&lt;='Panel'!$J$5)),1,0))</f>
        <v>0</v>
      </c>
      <c r="AJ171">
        <f>IF(AI171=1,R171,0)</f>
        <v>0</v>
      </c>
      <c r="AK171" t="str">
        <f>IF(AI171=1,'Panel'!$AB$4+SUM($AJ$5:AJ171),"")</f>
        <v/>
      </c>
      <c r="AL171">
        <f>IF(AI171=0,N(AL170),IF(R171&lt;0,N(AL170)+1,0))</f>
        <v>1</v>
      </c>
      <c r="AM171">
        <f>IF(AI171=0,N(AM170),IF(R171&gt;0,N(AM170)+1,0))</f>
        <v>0</v>
      </c>
      <c r="AN171">
        <f>IF(AI171=1,MAX('Panel'!$AB$4,N(AN170),AK171),N(AN170))</f>
        <v>21371.061500000033</v>
      </c>
      <c r="AO171">
        <f>IF(AI171=1,AN171-AK171,0)</f>
        <v>0</v>
      </c>
      <c r="AP171">
        <f>IF(AND(AI171=1,AN171&gt;0),AO171/AN171,0)</f>
        <v>0</v>
      </c>
      <c r="AQ171" t="str">
        <f>IF(AI171=1,SUM($AI$5:AI171),"")</f>
        <v/>
      </c>
      <c r="AR171" t="str">
        <f>IF(AI171=1,IF(COUNTIFS($D$5:D171,D171,$AI$5:AI171,1)=1,SUMIFS($AJ$5:$AJ$504,$D$5:$D$504,D171),""),"")</f>
        <v/>
      </c>
      <c r="AS171" t="str">
        <f>IF(AG171=1,WEEKDAY(D171,2),"")</f>
        <v/>
      </c>
      <c r="AT171" s="31" t="str">
        <f>IF(AG171=1,DATE(YEAR(D171),MONTH(D171),1),"")</f>
        <v/>
      </c>
      <c r="AU171">
        <f>IF(AG171=0,0,IF(AND(OR('Prop challenge'!$D$7="",F171='Prop challenge'!$D$7),OR('Prop challenge'!$D$9="",D171&gt;='Prop challenge'!$D$9)),1,0))</f>
        <v>0</v>
      </c>
      <c r="AV171">
        <f>IF(AU171=1,IF(COUNTIFS($D$5:D171,D171,$AU$5:AU171,1)=1,1,0),0)</f>
        <v>0</v>
      </c>
      <c r="AW171" t="str">
        <f>IF(AV171=1,SUM($AV$5:AV171),"")</f>
        <v/>
      </c>
      <c r="AX171" t="str">
        <f>IF(AV171=1,SUMIFS($R$5:$R$504,$D$5:$D$504,D171,$AU$5:$AU$504,1),"")</f>
        <v/>
      </c>
    </row>
    <row r="172">
      <c r="A172" s="20" t="str">
        <f>IF(AG172=1,ROW()-4,"")</f>
        <v/>
      </c>
      <c r="B172" s="21" t="n"/>
      <c r="C172" s="22" t="n"/>
      <c r="D172" s="21" t="n"/>
      <c r="E172" s="22" t="n"/>
      <c r="F172" s="23" t="n"/>
      <c r="G172" s="23" t="n"/>
      <c r="H172" s="23" t="n"/>
      <c r="I172" s="24" t="n"/>
      <c r="J172" s="25" t="n"/>
      <c r="K172" s="25" t="n"/>
      <c r="L172" s="25" t="n"/>
      <c r="M172" s="25" t="n"/>
      <c r="N172" s="26" t="n"/>
      <c r="O172" s="26" t="n"/>
      <c r="P172" s="27" t="str">
        <f>IF(OR(J172="",K172="",I172="",AF172=0,AD172=""),"",(K172-J172)*AF172*I172*AD172*AE172)</f>
        <v/>
      </c>
      <c r="Q172" s="26" t="n"/>
      <c r="R172" s="28" t="str">
        <f>IF(Q172&lt;&gt;"",Q172,IF(P172="","",P172-N(N172)+N(O172)))</f>
        <v/>
      </c>
      <c r="S172" s="27" t="str">
        <f>IF(OR(L172="",J172="",I172="",AD172=""),"",ABS(J172-L172)*I172*AD172*AE172)</f>
        <v/>
      </c>
      <c r="T172" s="29" t="str">
        <f>IF(OR(R172="",S172="",S172=0),"",R172/S172)</f>
        <v/>
      </c>
      <c r="U172" s="20" t="str">
        <f>IF(R172="","",IF(R172&gt;0,"Ganadora",IF(R172&lt;0,"Perdedora","BE")))</f>
        <v/>
      </c>
      <c r="V172" s="23" t="n"/>
      <c r="W172" s="23" t="n"/>
      <c r="X172" s="23" t="n"/>
      <c r="Y172" s="23" t="n"/>
      <c r="Z172" s="23" t="n"/>
      <c r="AA172" s="23" t="n"/>
      <c r="AB172" s="30" t="n"/>
      <c r="AC172" s="1" t="n"/>
      <c r="AD172" s="1" t="str">
        <f>IF(G172="","",IFERROR(INDEX('Listas'!$N$6:$N$35,MATCH(G172,'Listas'!$M$6:$M$35,0)),""))</f>
        <v/>
      </c>
      <c r="AE172">
        <f>IF(G172="",1,IFERROR(INDEX('Listas'!$P$6:$P$35,MATCH(G172,'Listas'!$M$6:$M$35,0)),1))</f>
        <v>1</v>
      </c>
      <c r="AF172">
        <f>IF(H172="Compra",1,IF(H172="Venta",-1,0))</f>
        <v>0</v>
      </c>
      <c r="AG172">
        <f>IF(AND(D172&lt;&gt;"",ISNUMBER(R172)),1,0)</f>
        <v>0</v>
      </c>
      <c r="AH172">
        <f>IF(AG172=0,0,IF(OR('Panel'!$D$5="Todas las cuentas",'Panel'!$D$5="",F172='Panel'!$D$5),1,0))</f>
        <v>0</v>
      </c>
      <c r="AI172">
        <f>IF(AH172=0,0,IF(AND(OR('Panel'!$G$5="",D172&gt;='Panel'!$G$5),OR('Panel'!$J$5="",D172&lt;='Panel'!$J$5)),1,0))</f>
        <v>0</v>
      </c>
      <c r="AJ172">
        <f>IF(AI172=1,R172,0)</f>
        <v>0</v>
      </c>
      <c r="AK172" t="str">
        <f>IF(AI172=1,'Panel'!$AB$4+SUM($AJ$5:AJ172),"")</f>
        <v/>
      </c>
      <c r="AL172">
        <f>IF(AI172=0,N(AL171),IF(R172&lt;0,N(AL171)+1,0))</f>
        <v>1</v>
      </c>
      <c r="AM172">
        <f>IF(AI172=0,N(AM171),IF(R172&gt;0,N(AM171)+1,0))</f>
        <v>0</v>
      </c>
      <c r="AN172">
        <f>IF(AI172=1,MAX('Panel'!$AB$4,N(AN171),AK172),N(AN171))</f>
        <v>21371.061500000033</v>
      </c>
      <c r="AO172">
        <f>IF(AI172=1,AN172-AK172,0)</f>
        <v>0</v>
      </c>
      <c r="AP172">
        <f>IF(AND(AI172=1,AN172&gt;0),AO172/AN172,0)</f>
        <v>0</v>
      </c>
      <c r="AQ172" t="str">
        <f>IF(AI172=1,SUM($AI$5:AI172),"")</f>
        <v/>
      </c>
      <c r="AR172" t="str">
        <f>IF(AI172=1,IF(COUNTIFS($D$5:D172,D172,$AI$5:AI172,1)=1,SUMIFS($AJ$5:$AJ$504,$D$5:$D$504,D172),""),"")</f>
        <v/>
      </c>
      <c r="AS172" t="str">
        <f>IF(AG172=1,WEEKDAY(D172,2),"")</f>
        <v/>
      </c>
      <c r="AT172" s="31" t="str">
        <f>IF(AG172=1,DATE(YEAR(D172),MONTH(D172),1),"")</f>
        <v/>
      </c>
      <c r="AU172">
        <f>IF(AG172=0,0,IF(AND(OR('Prop challenge'!$D$7="",F172='Prop challenge'!$D$7),OR('Prop challenge'!$D$9="",D172&gt;='Prop challenge'!$D$9)),1,0))</f>
        <v>0</v>
      </c>
      <c r="AV172">
        <f>IF(AU172=1,IF(COUNTIFS($D$5:D172,D172,$AU$5:AU172,1)=1,1,0),0)</f>
        <v>0</v>
      </c>
      <c r="AW172" t="str">
        <f>IF(AV172=1,SUM($AV$5:AV172),"")</f>
        <v/>
      </c>
      <c r="AX172" t="str">
        <f>IF(AV172=1,SUMIFS($R$5:$R$504,$D$5:$D$504,D172,$AU$5:$AU$504,1),"")</f>
        <v/>
      </c>
    </row>
    <row r="173">
      <c r="A173" s="20" t="str">
        <f>IF(AG173=1,ROW()-4,"")</f>
        <v/>
      </c>
      <c r="B173" s="21" t="n"/>
      <c r="C173" s="22" t="n"/>
      <c r="D173" s="21" t="n"/>
      <c r="E173" s="22" t="n"/>
      <c r="F173" s="23" t="n"/>
      <c r="G173" s="23" t="n"/>
      <c r="H173" s="23" t="n"/>
      <c r="I173" s="24" t="n"/>
      <c r="J173" s="25" t="n"/>
      <c r="K173" s="25" t="n"/>
      <c r="L173" s="25" t="n"/>
      <c r="M173" s="25" t="n"/>
      <c r="N173" s="26" t="n"/>
      <c r="O173" s="26" t="n"/>
      <c r="P173" s="27" t="str">
        <f>IF(OR(J173="",K173="",I173="",AF173=0,AD173=""),"",(K173-J173)*AF173*I173*AD173*AE173)</f>
        <v/>
      </c>
      <c r="Q173" s="26" t="n"/>
      <c r="R173" s="28" t="str">
        <f>IF(Q173&lt;&gt;"",Q173,IF(P173="","",P173-N(N173)+N(O173)))</f>
        <v/>
      </c>
      <c r="S173" s="27" t="str">
        <f>IF(OR(L173="",J173="",I173="",AD173=""),"",ABS(J173-L173)*I173*AD173*AE173)</f>
        <v/>
      </c>
      <c r="T173" s="29" t="str">
        <f>IF(OR(R173="",S173="",S173=0),"",R173/S173)</f>
        <v/>
      </c>
      <c r="U173" s="20" t="str">
        <f>IF(R173="","",IF(R173&gt;0,"Ganadora",IF(R173&lt;0,"Perdedora","BE")))</f>
        <v/>
      </c>
      <c r="V173" s="23" t="n"/>
      <c r="W173" s="23" t="n"/>
      <c r="X173" s="23" t="n"/>
      <c r="Y173" s="23" t="n"/>
      <c r="Z173" s="23" t="n"/>
      <c r="AA173" s="23" t="n"/>
      <c r="AB173" s="30" t="n"/>
      <c r="AC173" s="1" t="n"/>
      <c r="AD173" s="1" t="str">
        <f>IF(G173="","",IFERROR(INDEX('Listas'!$N$6:$N$35,MATCH(G173,'Listas'!$M$6:$M$35,0)),""))</f>
        <v/>
      </c>
      <c r="AE173">
        <f>IF(G173="",1,IFERROR(INDEX('Listas'!$P$6:$P$35,MATCH(G173,'Listas'!$M$6:$M$35,0)),1))</f>
        <v>1</v>
      </c>
      <c r="AF173">
        <f>IF(H173="Compra",1,IF(H173="Venta",-1,0))</f>
        <v>0</v>
      </c>
      <c r="AG173">
        <f>IF(AND(D173&lt;&gt;"",ISNUMBER(R173)),1,0)</f>
        <v>0</v>
      </c>
      <c r="AH173">
        <f>IF(AG173=0,0,IF(OR('Panel'!$D$5="Todas las cuentas",'Panel'!$D$5="",F173='Panel'!$D$5),1,0))</f>
        <v>0</v>
      </c>
      <c r="AI173">
        <f>IF(AH173=0,0,IF(AND(OR('Panel'!$G$5="",D173&gt;='Panel'!$G$5),OR('Panel'!$J$5="",D173&lt;='Panel'!$J$5)),1,0))</f>
        <v>0</v>
      </c>
      <c r="AJ173">
        <f>IF(AI173=1,R173,0)</f>
        <v>0</v>
      </c>
      <c r="AK173" t="str">
        <f>IF(AI173=1,'Panel'!$AB$4+SUM($AJ$5:AJ173),"")</f>
        <v/>
      </c>
      <c r="AL173">
        <f>IF(AI173=0,N(AL172),IF(R173&lt;0,N(AL172)+1,0))</f>
        <v>1</v>
      </c>
      <c r="AM173">
        <f>IF(AI173=0,N(AM172),IF(R173&gt;0,N(AM172)+1,0))</f>
        <v>0</v>
      </c>
      <c r="AN173">
        <f>IF(AI173=1,MAX('Panel'!$AB$4,N(AN172),AK173),N(AN172))</f>
        <v>21371.061500000033</v>
      </c>
      <c r="AO173">
        <f>IF(AI173=1,AN173-AK173,0)</f>
        <v>0</v>
      </c>
      <c r="AP173">
        <f>IF(AND(AI173=1,AN173&gt;0),AO173/AN173,0)</f>
        <v>0</v>
      </c>
      <c r="AQ173" t="str">
        <f>IF(AI173=1,SUM($AI$5:AI173),"")</f>
        <v/>
      </c>
      <c r="AR173" t="str">
        <f>IF(AI173=1,IF(COUNTIFS($D$5:D173,D173,$AI$5:AI173,1)=1,SUMIFS($AJ$5:$AJ$504,$D$5:$D$504,D173),""),"")</f>
        <v/>
      </c>
      <c r="AS173" t="str">
        <f>IF(AG173=1,WEEKDAY(D173,2),"")</f>
        <v/>
      </c>
      <c r="AT173" s="31" t="str">
        <f>IF(AG173=1,DATE(YEAR(D173),MONTH(D173),1),"")</f>
        <v/>
      </c>
      <c r="AU173">
        <f>IF(AG173=0,0,IF(AND(OR('Prop challenge'!$D$7="",F173='Prop challenge'!$D$7),OR('Prop challenge'!$D$9="",D173&gt;='Prop challenge'!$D$9)),1,0))</f>
        <v>0</v>
      </c>
      <c r="AV173">
        <f>IF(AU173=1,IF(COUNTIFS($D$5:D173,D173,$AU$5:AU173,1)=1,1,0),0)</f>
        <v>0</v>
      </c>
      <c r="AW173" t="str">
        <f>IF(AV173=1,SUM($AV$5:AV173),"")</f>
        <v/>
      </c>
      <c r="AX173" t="str">
        <f>IF(AV173=1,SUMIFS($R$5:$R$504,$D$5:$D$504,D173,$AU$5:$AU$504,1),"")</f>
        <v/>
      </c>
    </row>
    <row r="174">
      <c r="A174" s="20" t="str">
        <f>IF(AG174=1,ROW()-4,"")</f>
        <v/>
      </c>
      <c r="B174" s="21" t="n"/>
      <c r="C174" s="22" t="n"/>
      <c r="D174" s="21" t="n"/>
      <c r="E174" s="22" t="n"/>
      <c r="F174" s="23" t="n"/>
      <c r="G174" s="23" t="n"/>
      <c r="H174" s="23" t="n"/>
      <c r="I174" s="24" t="n"/>
      <c r="J174" s="25" t="n"/>
      <c r="K174" s="25" t="n"/>
      <c r="L174" s="25" t="n"/>
      <c r="M174" s="25" t="n"/>
      <c r="N174" s="26" t="n"/>
      <c r="O174" s="26" t="n"/>
      <c r="P174" s="27" t="str">
        <f>IF(OR(J174="",K174="",I174="",AF174=0,AD174=""),"",(K174-J174)*AF174*I174*AD174*AE174)</f>
        <v/>
      </c>
      <c r="Q174" s="26" t="n"/>
      <c r="R174" s="28" t="str">
        <f>IF(Q174&lt;&gt;"",Q174,IF(P174="","",P174-N(N174)+N(O174)))</f>
        <v/>
      </c>
      <c r="S174" s="27" t="str">
        <f>IF(OR(L174="",J174="",I174="",AD174=""),"",ABS(J174-L174)*I174*AD174*AE174)</f>
        <v/>
      </c>
      <c r="T174" s="29" t="str">
        <f>IF(OR(R174="",S174="",S174=0),"",R174/S174)</f>
        <v/>
      </c>
      <c r="U174" s="20" t="str">
        <f>IF(R174="","",IF(R174&gt;0,"Ganadora",IF(R174&lt;0,"Perdedora","BE")))</f>
        <v/>
      </c>
      <c r="V174" s="23" t="n"/>
      <c r="W174" s="23" t="n"/>
      <c r="X174" s="23" t="n"/>
      <c r="Y174" s="23" t="n"/>
      <c r="Z174" s="23" t="n"/>
      <c r="AA174" s="23" t="n"/>
      <c r="AB174" s="30" t="n"/>
      <c r="AC174" s="1" t="n"/>
      <c r="AD174" s="1" t="str">
        <f>IF(G174="","",IFERROR(INDEX('Listas'!$N$6:$N$35,MATCH(G174,'Listas'!$M$6:$M$35,0)),""))</f>
        <v/>
      </c>
      <c r="AE174">
        <f>IF(G174="",1,IFERROR(INDEX('Listas'!$P$6:$P$35,MATCH(G174,'Listas'!$M$6:$M$35,0)),1))</f>
        <v>1</v>
      </c>
      <c r="AF174">
        <f>IF(H174="Compra",1,IF(H174="Venta",-1,0))</f>
        <v>0</v>
      </c>
      <c r="AG174">
        <f>IF(AND(D174&lt;&gt;"",ISNUMBER(R174)),1,0)</f>
        <v>0</v>
      </c>
      <c r="AH174">
        <f>IF(AG174=0,0,IF(OR('Panel'!$D$5="Todas las cuentas",'Panel'!$D$5="",F174='Panel'!$D$5),1,0))</f>
        <v>0</v>
      </c>
      <c r="AI174">
        <f>IF(AH174=0,0,IF(AND(OR('Panel'!$G$5="",D174&gt;='Panel'!$G$5),OR('Panel'!$J$5="",D174&lt;='Panel'!$J$5)),1,0))</f>
        <v>0</v>
      </c>
      <c r="AJ174">
        <f>IF(AI174=1,R174,0)</f>
        <v>0</v>
      </c>
      <c r="AK174" t="str">
        <f>IF(AI174=1,'Panel'!$AB$4+SUM($AJ$5:AJ174),"")</f>
        <v/>
      </c>
      <c r="AL174">
        <f>IF(AI174=0,N(AL173),IF(R174&lt;0,N(AL173)+1,0))</f>
        <v>1</v>
      </c>
      <c r="AM174">
        <f>IF(AI174=0,N(AM173),IF(R174&gt;0,N(AM173)+1,0))</f>
        <v>0</v>
      </c>
      <c r="AN174">
        <f>IF(AI174=1,MAX('Panel'!$AB$4,N(AN173),AK174),N(AN173))</f>
        <v>21371.061500000033</v>
      </c>
      <c r="AO174">
        <f>IF(AI174=1,AN174-AK174,0)</f>
        <v>0</v>
      </c>
      <c r="AP174">
        <f>IF(AND(AI174=1,AN174&gt;0),AO174/AN174,0)</f>
        <v>0</v>
      </c>
      <c r="AQ174" t="str">
        <f>IF(AI174=1,SUM($AI$5:AI174),"")</f>
        <v/>
      </c>
      <c r="AR174" t="str">
        <f>IF(AI174=1,IF(COUNTIFS($D$5:D174,D174,$AI$5:AI174,1)=1,SUMIFS($AJ$5:$AJ$504,$D$5:$D$504,D174),""),"")</f>
        <v/>
      </c>
      <c r="AS174" t="str">
        <f>IF(AG174=1,WEEKDAY(D174,2),"")</f>
        <v/>
      </c>
      <c r="AT174" s="31" t="str">
        <f>IF(AG174=1,DATE(YEAR(D174),MONTH(D174),1),"")</f>
        <v/>
      </c>
      <c r="AU174">
        <f>IF(AG174=0,0,IF(AND(OR('Prop challenge'!$D$7="",F174='Prop challenge'!$D$7),OR('Prop challenge'!$D$9="",D174&gt;='Prop challenge'!$D$9)),1,0))</f>
        <v>0</v>
      </c>
      <c r="AV174">
        <f>IF(AU174=1,IF(COUNTIFS($D$5:D174,D174,$AU$5:AU174,1)=1,1,0),0)</f>
        <v>0</v>
      </c>
      <c r="AW174" t="str">
        <f>IF(AV174=1,SUM($AV$5:AV174),"")</f>
        <v/>
      </c>
      <c r="AX174" t="str">
        <f>IF(AV174=1,SUMIFS($R$5:$R$504,$D$5:$D$504,D174,$AU$5:$AU$504,1),"")</f>
        <v/>
      </c>
    </row>
    <row r="175">
      <c r="A175" s="20" t="str">
        <f>IF(AG175=1,ROW()-4,"")</f>
        <v/>
      </c>
      <c r="B175" s="21" t="n"/>
      <c r="C175" s="22" t="n"/>
      <c r="D175" s="21" t="n"/>
      <c r="E175" s="22" t="n"/>
      <c r="F175" s="23" t="n"/>
      <c r="G175" s="23" t="n"/>
      <c r="H175" s="23" t="n"/>
      <c r="I175" s="24" t="n"/>
      <c r="J175" s="25" t="n"/>
      <c r="K175" s="25" t="n"/>
      <c r="L175" s="25" t="n"/>
      <c r="M175" s="25" t="n"/>
      <c r="N175" s="26" t="n"/>
      <c r="O175" s="26" t="n"/>
      <c r="P175" s="27" t="str">
        <f>IF(OR(J175="",K175="",I175="",AF175=0,AD175=""),"",(K175-J175)*AF175*I175*AD175*AE175)</f>
        <v/>
      </c>
      <c r="Q175" s="26" t="n"/>
      <c r="R175" s="28" t="str">
        <f>IF(Q175&lt;&gt;"",Q175,IF(P175="","",P175-N(N175)+N(O175)))</f>
        <v/>
      </c>
      <c r="S175" s="27" t="str">
        <f>IF(OR(L175="",J175="",I175="",AD175=""),"",ABS(J175-L175)*I175*AD175*AE175)</f>
        <v/>
      </c>
      <c r="T175" s="29" t="str">
        <f>IF(OR(R175="",S175="",S175=0),"",R175/S175)</f>
        <v/>
      </c>
      <c r="U175" s="20" t="str">
        <f>IF(R175="","",IF(R175&gt;0,"Ganadora",IF(R175&lt;0,"Perdedora","BE")))</f>
        <v/>
      </c>
      <c r="V175" s="23" t="n"/>
      <c r="W175" s="23" t="n"/>
      <c r="X175" s="23" t="n"/>
      <c r="Y175" s="23" t="n"/>
      <c r="Z175" s="23" t="n"/>
      <c r="AA175" s="23" t="n"/>
      <c r="AB175" s="30" t="n"/>
      <c r="AC175" s="1" t="n"/>
      <c r="AD175" s="1" t="str">
        <f>IF(G175="","",IFERROR(INDEX('Listas'!$N$6:$N$35,MATCH(G175,'Listas'!$M$6:$M$35,0)),""))</f>
        <v/>
      </c>
      <c r="AE175">
        <f>IF(G175="",1,IFERROR(INDEX('Listas'!$P$6:$P$35,MATCH(G175,'Listas'!$M$6:$M$35,0)),1))</f>
        <v>1</v>
      </c>
      <c r="AF175">
        <f>IF(H175="Compra",1,IF(H175="Venta",-1,0))</f>
        <v>0</v>
      </c>
      <c r="AG175">
        <f>IF(AND(D175&lt;&gt;"",ISNUMBER(R175)),1,0)</f>
        <v>0</v>
      </c>
      <c r="AH175">
        <f>IF(AG175=0,0,IF(OR('Panel'!$D$5="Todas las cuentas",'Panel'!$D$5="",F175='Panel'!$D$5),1,0))</f>
        <v>0</v>
      </c>
      <c r="AI175">
        <f>IF(AH175=0,0,IF(AND(OR('Panel'!$G$5="",D175&gt;='Panel'!$G$5),OR('Panel'!$J$5="",D175&lt;='Panel'!$J$5)),1,0))</f>
        <v>0</v>
      </c>
      <c r="AJ175">
        <f>IF(AI175=1,R175,0)</f>
        <v>0</v>
      </c>
      <c r="AK175" t="str">
        <f>IF(AI175=1,'Panel'!$AB$4+SUM($AJ$5:AJ175),"")</f>
        <v/>
      </c>
      <c r="AL175">
        <f>IF(AI175=0,N(AL174),IF(R175&lt;0,N(AL174)+1,0))</f>
        <v>1</v>
      </c>
      <c r="AM175">
        <f>IF(AI175=0,N(AM174),IF(R175&gt;0,N(AM174)+1,0))</f>
        <v>0</v>
      </c>
      <c r="AN175">
        <f>IF(AI175=1,MAX('Panel'!$AB$4,N(AN174),AK175),N(AN174))</f>
        <v>21371.061500000033</v>
      </c>
      <c r="AO175">
        <f>IF(AI175=1,AN175-AK175,0)</f>
        <v>0</v>
      </c>
      <c r="AP175">
        <f>IF(AND(AI175=1,AN175&gt;0),AO175/AN175,0)</f>
        <v>0</v>
      </c>
      <c r="AQ175" t="str">
        <f>IF(AI175=1,SUM($AI$5:AI175),"")</f>
        <v/>
      </c>
      <c r="AR175" t="str">
        <f>IF(AI175=1,IF(COUNTIFS($D$5:D175,D175,$AI$5:AI175,1)=1,SUMIFS($AJ$5:$AJ$504,$D$5:$D$504,D175),""),"")</f>
        <v/>
      </c>
      <c r="AS175" t="str">
        <f>IF(AG175=1,WEEKDAY(D175,2),"")</f>
        <v/>
      </c>
      <c r="AT175" s="31" t="str">
        <f>IF(AG175=1,DATE(YEAR(D175),MONTH(D175),1),"")</f>
        <v/>
      </c>
      <c r="AU175">
        <f>IF(AG175=0,0,IF(AND(OR('Prop challenge'!$D$7="",F175='Prop challenge'!$D$7),OR('Prop challenge'!$D$9="",D175&gt;='Prop challenge'!$D$9)),1,0))</f>
        <v>0</v>
      </c>
      <c r="AV175">
        <f>IF(AU175=1,IF(COUNTIFS($D$5:D175,D175,$AU$5:AU175,1)=1,1,0),0)</f>
        <v>0</v>
      </c>
      <c r="AW175" t="str">
        <f>IF(AV175=1,SUM($AV$5:AV175),"")</f>
        <v/>
      </c>
      <c r="AX175" t="str">
        <f>IF(AV175=1,SUMIFS($R$5:$R$504,$D$5:$D$504,D175,$AU$5:$AU$504,1),"")</f>
        <v/>
      </c>
    </row>
    <row r="176">
      <c r="A176" s="20" t="str">
        <f>IF(AG176=1,ROW()-4,"")</f>
        <v/>
      </c>
      <c r="B176" s="21" t="n"/>
      <c r="C176" s="22" t="n"/>
      <c r="D176" s="21" t="n"/>
      <c r="E176" s="22" t="n"/>
      <c r="F176" s="23" t="n"/>
      <c r="G176" s="23" t="n"/>
      <c r="H176" s="23" t="n"/>
      <c r="I176" s="24" t="n"/>
      <c r="J176" s="25" t="n"/>
      <c r="K176" s="25" t="n"/>
      <c r="L176" s="25" t="n"/>
      <c r="M176" s="25" t="n"/>
      <c r="N176" s="26" t="n"/>
      <c r="O176" s="26" t="n"/>
      <c r="P176" s="27" t="str">
        <f>IF(OR(J176="",K176="",I176="",AF176=0,AD176=""),"",(K176-J176)*AF176*I176*AD176*AE176)</f>
        <v/>
      </c>
      <c r="Q176" s="26" t="n"/>
      <c r="R176" s="28" t="str">
        <f>IF(Q176&lt;&gt;"",Q176,IF(P176="","",P176-N(N176)+N(O176)))</f>
        <v/>
      </c>
      <c r="S176" s="27" t="str">
        <f>IF(OR(L176="",J176="",I176="",AD176=""),"",ABS(J176-L176)*I176*AD176*AE176)</f>
        <v/>
      </c>
      <c r="T176" s="29" t="str">
        <f>IF(OR(R176="",S176="",S176=0),"",R176/S176)</f>
        <v/>
      </c>
      <c r="U176" s="20" t="str">
        <f>IF(R176="","",IF(R176&gt;0,"Ganadora",IF(R176&lt;0,"Perdedora","BE")))</f>
        <v/>
      </c>
      <c r="V176" s="23" t="n"/>
      <c r="W176" s="23" t="n"/>
      <c r="X176" s="23" t="n"/>
      <c r="Y176" s="23" t="n"/>
      <c r="Z176" s="23" t="n"/>
      <c r="AA176" s="23" t="n"/>
      <c r="AB176" s="30" t="n"/>
      <c r="AC176" s="1" t="n"/>
      <c r="AD176" s="1" t="str">
        <f>IF(G176="","",IFERROR(INDEX('Listas'!$N$6:$N$35,MATCH(G176,'Listas'!$M$6:$M$35,0)),""))</f>
        <v/>
      </c>
      <c r="AE176">
        <f>IF(G176="",1,IFERROR(INDEX('Listas'!$P$6:$P$35,MATCH(G176,'Listas'!$M$6:$M$35,0)),1))</f>
        <v>1</v>
      </c>
      <c r="AF176">
        <f>IF(H176="Compra",1,IF(H176="Venta",-1,0))</f>
        <v>0</v>
      </c>
      <c r="AG176">
        <f>IF(AND(D176&lt;&gt;"",ISNUMBER(R176)),1,0)</f>
        <v>0</v>
      </c>
      <c r="AH176">
        <f>IF(AG176=0,0,IF(OR('Panel'!$D$5="Todas las cuentas",'Panel'!$D$5="",F176='Panel'!$D$5),1,0))</f>
        <v>0</v>
      </c>
      <c r="AI176">
        <f>IF(AH176=0,0,IF(AND(OR('Panel'!$G$5="",D176&gt;='Panel'!$G$5),OR('Panel'!$J$5="",D176&lt;='Panel'!$J$5)),1,0))</f>
        <v>0</v>
      </c>
      <c r="AJ176">
        <f>IF(AI176=1,R176,0)</f>
        <v>0</v>
      </c>
      <c r="AK176" t="str">
        <f>IF(AI176=1,'Panel'!$AB$4+SUM($AJ$5:AJ176),"")</f>
        <v/>
      </c>
      <c r="AL176">
        <f>IF(AI176=0,N(AL175),IF(R176&lt;0,N(AL175)+1,0))</f>
        <v>1</v>
      </c>
      <c r="AM176">
        <f>IF(AI176=0,N(AM175),IF(R176&gt;0,N(AM175)+1,0))</f>
        <v>0</v>
      </c>
      <c r="AN176">
        <f>IF(AI176=1,MAX('Panel'!$AB$4,N(AN175),AK176),N(AN175))</f>
        <v>21371.061500000033</v>
      </c>
      <c r="AO176">
        <f>IF(AI176=1,AN176-AK176,0)</f>
        <v>0</v>
      </c>
      <c r="AP176">
        <f>IF(AND(AI176=1,AN176&gt;0),AO176/AN176,0)</f>
        <v>0</v>
      </c>
      <c r="AQ176" t="str">
        <f>IF(AI176=1,SUM($AI$5:AI176),"")</f>
        <v/>
      </c>
      <c r="AR176" t="str">
        <f>IF(AI176=1,IF(COUNTIFS($D$5:D176,D176,$AI$5:AI176,1)=1,SUMIFS($AJ$5:$AJ$504,$D$5:$D$504,D176),""),"")</f>
        <v/>
      </c>
      <c r="AS176" t="str">
        <f>IF(AG176=1,WEEKDAY(D176,2),"")</f>
        <v/>
      </c>
      <c r="AT176" s="31" t="str">
        <f>IF(AG176=1,DATE(YEAR(D176),MONTH(D176),1),"")</f>
        <v/>
      </c>
      <c r="AU176">
        <f>IF(AG176=0,0,IF(AND(OR('Prop challenge'!$D$7="",F176='Prop challenge'!$D$7),OR('Prop challenge'!$D$9="",D176&gt;='Prop challenge'!$D$9)),1,0))</f>
        <v>0</v>
      </c>
      <c r="AV176">
        <f>IF(AU176=1,IF(COUNTIFS($D$5:D176,D176,$AU$5:AU176,1)=1,1,0),0)</f>
        <v>0</v>
      </c>
      <c r="AW176" t="str">
        <f>IF(AV176=1,SUM($AV$5:AV176),"")</f>
        <v/>
      </c>
      <c r="AX176" t="str">
        <f>IF(AV176=1,SUMIFS($R$5:$R$504,$D$5:$D$504,D176,$AU$5:$AU$504,1),"")</f>
        <v/>
      </c>
    </row>
    <row r="177">
      <c r="A177" s="20" t="str">
        <f>IF(AG177=1,ROW()-4,"")</f>
        <v/>
      </c>
      <c r="B177" s="21" t="n"/>
      <c r="C177" s="22" t="n"/>
      <c r="D177" s="21" t="n"/>
      <c r="E177" s="22" t="n"/>
      <c r="F177" s="23" t="n"/>
      <c r="G177" s="23" t="n"/>
      <c r="H177" s="23" t="n"/>
      <c r="I177" s="24" t="n"/>
      <c r="J177" s="25" t="n"/>
      <c r="K177" s="25" t="n"/>
      <c r="L177" s="25" t="n"/>
      <c r="M177" s="25" t="n"/>
      <c r="N177" s="26" t="n"/>
      <c r="O177" s="26" t="n"/>
      <c r="P177" s="27" t="str">
        <f>IF(OR(J177="",K177="",I177="",AF177=0,AD177=""),"",(K177-J177)*AF177*I177*AD177*AE177)</f>
        <v/>
      </c>
      <c r="Q177" s="26" t="n"/>
      <c r="R177" s="28" t="str">
        <f>IF(Q177&lt;&gt;"",Q177,IF(P177="","",P177-N(N177)+N(O177)))</f>
        <v/>
      </c>
      <c r="S177" s="27" t="str">
        <f>IF(OR(L177="",J177="",I177="",AD177=""),"",ABS(J177-L177)*I177*AD177*AE177)</f>
        <v/>
      </c>
      <c r="T177" s="29" t="str">
        <f>IF(OR(R177="",S177="",S177=0),"",R177/S177)</f>
        <v/>
      </c>
      <c r="U177" s="20" t="str">
        <f>IF(R177="","",IF(R177&gt;0,"Ganadora",IF(R177&lt;0,"Perdedora","BE")))</f>
        <v/>
      </c>
      <c r="V177" s="23" t="n"/>
      <c r="W177" s="23" t="n"/>
      <c r="X177" s="23" t="n"/>
      <c r="Y177" s="23" t="n"/>
      <c r="Z177" s="23" t="n"/>
      <c r="AA177" s="23" t="n"/>
      <c r="AB177" s="30" t="n"/>
      <c r="AC177" s="1" t="n"/>
      <c r="AD177" s="1" t="str">
        <f>IF(G177="","",IFERROR(INDEX('Listas'!$N$6:$N$35,MATCH(G177,'Listas'!$M$6:$M$35,0)),""))</f>
        <v/>
      </c>
      <c r="AE177">
        <f>IF(G177="",1,IFERROR(INDEX('Listas'!$P$6:$P$35,MATCH(G177,'Listas'!$M$6:$M$35,0)),1))</f>
        <v>1</v>
      </c>
      <c r="AF177">
        <f>IF(H177="Compra",1,IF(H177="Venta",-1,0))</f>
        <v>0</v>
      </c>
      <c r="AG177">
        <f>IF(AND(D177&lt;&gt;"",ISNUMBER(R177)),1,0)</f>
        <v>0</v>
      </c>
      <c r="AH177">
        <f>IF(AG177=0,0,IF(OR('Panel'!$D$5="Todas las cuentas",'Panel'!$D$5="",F177='Panel'!$D$5),1,0))</f>
        <v>0</v>
      </c>
      <c r="AI177">
        <f>IF(AH177=0,0,IF(AND(OR('Panel'!$G$5="",D177&gt;='Panel'!$G$5),OR('Panel'!$J$5="",D177&lt;='Panel'!$J$5)),1,0))</f>
        <v>0</v>
      </c>
      <c r="AJ177">
        <f>IF(AI177=1,R177,0)</f>
        <v>0</v>
      </c>
      <c r="AK177" t="str">
        <f>IF(AI177=1,'Panel'!$AB$4+SUM($AJ$5:AJ177),"")</f>
        <v/>
      </c>
      <c r="AL177">
        <f>IF(AI177=0,N(AL176),IF(R177&lt;0,N(AL176)+1,0))</f>
        <v>1</v>
      </c>
      <c r="AM177">
        <f>IF(AI177=0,N(AM176),IF(R177&gt;0,N(AM176)+1,0))</f>
        <v>0</v>
      </c>
      <c r="AN177">
        <f>IF(AI177=1,MAX('Panel'!$AB$4,N(AN176),AK177),N(AN176))</f>
        <v>21371.061500000033</v>
      </c>
      <c r="AO177">
        <f>IF(AI177=1,AN177-AK177,0)</f>
        <v>0</v>
      </c>
      <c r="AP177">
        <f>IF(AND(AI177=1,AN177&gt;0),AO177/AN177,0)</f>
        <v>0</v>
      </c>
      <c r="AQ177" t="str">
        <f>IF(AI177=1,SUM($AI$5:AI177),"")</f>
        <v/>
      </c>
      <c r="AR177" t="str">
        <f>IF(AI177=1,IF(COUNTIFS($D$5:D177,D177,$AI$5:AI177,1)=1,SUMIFS($AJ$5:$AJ$504,$D$5:$D$504,D177),""),"")</f>
        <v/>
      </c>
      <c r="AS177" t="str">
        <f>IF(AG177=1,WEEKDAY(D177,2),"")</f>
        <v/>
      </c>
      <c r="AT177" s="31" t="str">
        <f>IF(AG177=1,DATE(YEAR(D177),MONTH(D177),1),"")</f>
        <v/>
      </c>
      <c r="AU177">
        <f>IF(AG177=0,0,IF(AND(OR('Prop challenge'!$D$7="",F177='Prop challenge'!$D$7),OR('Prop challenge'!$D$9="",D177&gt;='Prop challenge'!$D$9)),1,0))</f>
        <v>0</v>
      </c>
      <c r="AV177">
        <f>IF(AU177=1,IF(COUNTIFS($D$5:D177,D177,$AU$5:AU177,1)=1,1,0),0)</f>
        <v>0</v>
      </c>
      <c r="AW177" t="str">
        <f>IF(AV177=1,SUM($AV$5:AV177),"")</f>
        <v/>
      </c>
      <c r="AX177" t="str">
        <f>IF(AV177=1,SUMIFS($R$5:$R$504,$D$5:$D$504,D177,$AU$5:$AU$504,1),"")</f>
        <v/>
      </c>
    </row>
    <row r="178">
      <c r="A178" s="20" t="str">
        <f>IF(AG178=1,ROW()-4,"")</f>
        <v/>
      </c>
      <c r="B178" s="21" t="n"/>
      <c r="C178" s="22" t="n"/>
      <c r="D178" s="21" t="n"/>
      <c r="E178" s="22" t="n"/>
      <c r="F178" s="23" t="n"/>
      <c r="G178" s="23" t="n"/>
      <c r="H178" s="23" t="n"/>
      <c r="I178" s="24" t="n"/>
      <c r="J178" s="25" t="n"/>
      <c r="K178" s="25" t="n"/>
      <c r="L178" s="25" t="n"/>
      <c r="M178" s="25" t="n"/>
      <c r="N178" s="26" t="n"/>
      <c r="O178" s="26" t="n"/>
      <c r="P178" s="27" t="str">
        <f>IF(OR(J178="",K178="",I178="",AF178=0,AD178=""),"",(K178-J178)*AF178*I178*AD178*AE178)</f>
        <v/>
      </c>
      <c r="Q178" s="26" t="n"/>
      <c r="R178" s="28" t="str">
        <f>IF(Q178&lt;&gt;"",Q178,IF(P178="","",P178-N(N178)+N(O178)))</f>
        <v/>
      </c>
      <c r="S178" s="27" t="str">
        <f>IF(OR(L178="",J178="",I178="",AD178=""),"",ABS(J178-L178)*I178*AD178*AE178)</f>
        <v/>
      </c>
      <c r="T178" s="29" t="str">
        <f>IF(OR(R178="",S178="",S178=0),"",R178/S178)</f>
        <v/>
      </c>
      <c r="U178" s="20" t="str">
        <f>IF(R178="","",IF(R178&gt;0,"Ganadora",IF(R178&lt;0,"Perdedora","BE")))</f>
        <v/>
      </c>
      <c r="V178" s="23" t="n"/>
      <c r="W178" s="23" t="n"/>
      <c r="X178" s="23" t="n"/>
      <c r="Y178" s="23" t="n"/>
      <c r="Z178" s="23" t="n"/>
      <c r="AA178" s="23" t="n"/>
      <c r="AB178" s="30" t="n"/>
      <c r="AC178" s="1" t="n"/>
      <c r="AD178" s="1" t="str">
        <f>IF(G178="","",IFERROR(INDEX('Listas'!$N$6:$N$35,MATCH(G178,'Listas'!$M$6:$M$35,0)),""))</f>
        <v/>
      </c>
      <c r="AE178">
        <f>IF(G178="",1,IFERROR(INDEX('Listas'!$P$6:$P$35,MATCH(G178,'Listas'!$M$6:$M$35,0)),1))</f>
        <v>1</v>
      </c>
      <c r="AF178">
        <f>IF(H178="Compra",1,IF(H178="Venta",-1,0))</f>
        <v>0</v>
      </c>
      <c r="AG178">
        <f>IF(AND(D178&lt;&gt;"",ISNUMBER(R178)),1,0)</f>
        <v>0</v>
      </c>
      <c r="AH178">
        <f>IF(AG178=0,0,IF(OR('Panel'!$D$5="Todas las cuentas",'Panel'!$D$5="",F178='Panel'!$D$5),1,0))</f>
        <v>0</v>
      </c>
      <c r="AI178">
        <f>IF(AH178=0,0,IF(AND(OR('Panel'!$G$5="",D178&gt;='Panel'!$G$5),OR('Panel'!$J$5="",D178&lt;='Panel'!$J$5)),1,0))</f>
        <v>0</v>
      </c>
      <c r="AJ178">
        <f>IF(AI178=1,R178,0)</f>
        <v>0</v>
      </c>
      <c r="AK178" t="str">
        <f>IF(AI178=1,'Panel'!$AB$4+SUM($AJ$5:AJ178),"")</f>
        <v/>
      </c>
      <c r="AL178">
        <f>IF(AI178=0,N(AL177),IF(R178&lt;0,N(AL177)+1,0))</f>
        <v>1</v>
      </c>
      <c r="AM178">
        <f>IF(AI178=0,N(AM177),IF(R178&gt;0,N(AM177)+1,0))</f>
        <v>0</v>
      </c>
      <c r="AN178">
        <f>IF(AI178=1,MAX('Panel'!$AB$4,N(AN177),AK178),N(AN177))</f>
        <v>21371.061500000033</v>
      </c>
      <c r="AO178">
        <f>IF(AI178=1,AN178-AK178,0)</f>
        <v>0</v>
      </c>
      <c r="AP178">
        <f>IF(AND(AI178=1,AN178&gt;0),AO178/AN178,0)</f>
        <v>0</v>
      </c>
      <c r="AQ178" t="str">
        <f>IF(AI178=1,SUM($AI$5:AI178),"")</f>
        <v/>
      </c>
      <c r="AR178" t="str">
        <f>IF(AI178=1,IF(COUNTIFS($D$5:D178,D178,$AI$5:AI178,1)=1,SUMIFS($AJ$5:$AJ$504,$D$5:$D$504,D178),""),"")</f>
        <v/>
      </c>
      <c r="AS178" t="str">
        <f>IF(AG178=1,WEEKDAY(D178,2),"")</f>
        <v/>
      </c>
      <c r="AT178" s="31" t="str">
        <f>IF(AG178=1,DATE(YEAR(D178),MONTH(D178),1),"")</f>
        <v/>
      </c>
      <c r="AU178">
        <f>IF(AG178=0,0,IF(AND(OR('Prop challenge'!$D$7="",F178='Prop challenge'!$D$7),OR('Prop challenge'!$D$9="",D178&gt;='Prop challenge'!$D$9)),1,0))</f>
        <v>0</v>
      </c>
      <c r="AV178">
        <f>IF(AU178=1,IF(COUNTIFS($D$5:D178,D178,$AU$5:AU178,1)=1,1,0),0)</f>
        <v>0</v>
      </c>
      <c r="AW178" t="str">
        <f>IF(AV178=1,SUM($AV$5:AV178),"")</f>
        <v/>
      </c>
      <c r="AX178" t="str">
        <f>IF(AV178=1,SUMIFS($R$5:$R$504,$D$5:$D$504,D178,$AU$5:$AU$504,1),"")</f>
        <v/>
      </c>
    </row>
    <row r="179">
      <c r="A179" s="20" t="str">
        <f>IF(AG179=1,ROW()-4,"")</f>
        <v/>
      </c>
      <c r="B179" s="21" t="n"/>
      <c r="C179" s="22" t="n"/>
      <c r="D179" s="21" t="n"/>
      <c r="E179" s="22" t="n"/>
      <c r="F179" s="23" t="n"/>
      <c r="G179" s="23" t="n"/>
      <c r="H179" s="23" t="n"/>
      <c r="I179" s="24" t="n"/>
      <c r="J179" s="25" t="n"/>
      <c r="K179" s="25" t="n"/>
      <c r="L179" s="25" t="n"/>
      <c r="M179" s="25" t="n"/>
      <c r="N179" s="26" t="n"/>
      <c r="O179" s="26" t="n"/>
      <c r="P179" s="27" t="str">
        <f>IF(OR(J179="",K179="",I179="",AF179=0,AD179=""),"",(K179-J179)*AF179*I179*AD179*AE179)</f>
        <v/>
      </c>
      <c r="Q179" s="26" t="n"/>
      <c r="R179" s="28" t="str">
        <f>IF(Q179&lt;&gt;"",Q179,IF(P179="","",P179-N(N179)+N(O179)))</f>
        <v/>
      </c>
      <c r="S179" s="27" t="str">
        <f>IF(OR(L179="",J179="",I179="",AD179=""),"",ABS(J179-L179)*I179*AD179*AE179)</f>
        <v/>
      </c>
      <c r="T179" s="29" t="str">
        <f>IF(OR(R179="",S179="",S179=0),"",R179/S179)</f>
        <v/>
      </c>
      <c r="U179" s="20" t="str">
        <f>IF(R179="","",IF(R179&gt;0,"Ganadora",IF(R179&lt;0,"Perdedora","BE")))</f>
        <v/>
      </c>
      <c r="V179" s="23" t="n"/>
      <c r="W179" s="23" t="n"/>
      <c r="X179" s="23" t="n"/>
      <c r="Y179" s="23" t="n"/>
      <c r="Z179" s="23" t="n"/>
      <c r="AA179" s="23" t="n"/>
      <c r="AB179" s="30" t="n"/>
      <c r="AC179" s="1" t="n"/>
      <c r="AD179" s="1" t="str">
        <f>IF(G179="","",IFERROR(INDEX('Listas'!$N$6:$N$35,MATCH(G179,'Listas'!$M$6:$M$35,0)),""))</f>
        <v/>
      </c>
      <c r="AE179">
        <f>IF(G179="",1,IFERROR(INDEX('Listas'!$P$6:$P$35,MATCH(G179,'Listas'!$M$6:$M$35,0)),1))</f>
        <v>1</v>
      </c>
      <c r="AF179">
        <f>IF(H179="Compra",1,IF(H179="Venta",-1,0))</f>
        <v>0</v>
      </c>
      <c r="AG179">
        <f>IF(AND(D179&lt;&gt;"",ISNUMBER(R179)),1,0)</f>
        <v>0</v>
      </c>
      <c r="AH179">
        <f>IF(AG179=0,0,IF(OR('Panel'!$D$5="Todas las cuentas",'Panel'!$D$5="",F179='Panel'!$D$5),1,0))</f>
        <v>0</v>
      </c>
      <c r="AI179">
        <f>IF(AH179=0,0,IF(AND(OR('Panel'!$G$5="",D179&gt;='Panel'!$G$5),OR('Panel'!$J$5="",D179&lt;='Panel'!$J$5)),1,0))</f>
        <v>0</v>
      </c>
      <c r="AJ179">
        <f>IF(AI179=1,R179,0)</f>
        <v>0</v>
      </c>
      <c r="AK179" t="str">
        <f>IF(AI179=1,'Panel'!$AB$4+SUM($AJ$5:AJ179),"")</f>
        <v/>
      </c>
      <c r="AL179">
        <f>IF(AI179=0,N(AL178),IF(R179&lt;0,N(AL178)+1,0))</f>
        <v>1</v>
      </c>
      <c r="AM179">
        <f>IF(AI179=0,N(AM178),IF(R179&gt;0,N(AM178)+1,0))</f>
        <v>0</v>
      </c>
      <c r="AN179">
        <f>IF(AI179=1,MAX('Panel'!$AB$4,N(AN178),AK179),N(AN178))</f>
        <v>21371.061500000033</v>
      </c>
      <c r="AO179">
        <f>IF(AI179=1,AN179-AK179,0)</f>
        <v>0</v>
      </c>
      <c r="AP179">
        <f>IF(AND(AI179=1,AN179&gt;0),AO179/AN179,0)</f>
        <v>0</v>
      </c>
      <c r="AQ179" t="str">
        <f>IF(AI179=1,SUM($AI$5:AI179),"")</f>
        <v/>
      </c>
      <c r="AR179" t="str">
        <f>IF(AI179=1,IF(COUNTIFS($D$5:D179,D179,$AI$5:AI179,1)=1,SUMIFS($AJ$5:$AJ$504,$D$5:$D$504,D179),""),"")</f>
        <v/>
      </c>
      <c r="AS179" t="str">
        <f>IF(AG179=1,WEEKDAY(D179,2),"")</f>
        <v/>
      </c>
      <c r="AT179" s="31" t="str">
        <f>IF(AG179=1,DATE(YEAR(D179),MONTH(D179),1),"")</f>
        <v/>
      </c>
      <c r="AU179">
        <f>IF(AG179=0,0,IF(AND(OR('Prop challenge'!$D$7="",F179='Prop challenge'!$D$7),OR('Prop challenge'!$D$9="",D179&gt;='Prop challenge'!$D$9)),1,0))</f>
        <v>0</v>
      </c>
      <c r="AV179">
        <f>IF(AU179=1,IF(COUNTIFS($D$5:D179,D179,$AU$5:AU179,1)=1,1,0),0)</f>
        <v>0</v>
      </c>
      <c r="AW179" t="str">
        <f>IF(AV179=1,SUM($AV$5:AV179),"")</f>
        <v/>
      </c>
      <c r="AX179" t="str">
        <f>IF(AV179=1,SUMIFS($R$5:$R$504,$D$5:$D$504,D179,$AU$5:$AU$504,1),"")</f>
        <v/>
      </c>
    </row>
    <row r="180">
      <c r="A180" s="20" t="str">
        <f>IF(AG180=1,ROW()-4,"")</f>
        <v/>
      </c>
      <c r="B180" s="21" t="n"/>
      <c r="C180" s="22" t="n"/>
      <c r="D180" s="21" t="n"/>
      <c r="E180" s="22" t="n"/>
      <c r="F180" s="23" t="n"/>
      <c r="G180" s="23" t="n"/>
      <c r="H180" s="23" t="n"/>
      <c r="I180" s="24" t="n"/>
      <c r="J180" s="25" t="n"/>
      <c r="K180" s="25" t="n"/>
      <c r="L180" s="25" t="n"/>
      <c r="M180" s="25" t="n"/>
      <c r="N180" s="26" t="n"/>
      <c r="O180" s="26" t="n"/>
      <c r="P180" s="27" t="str">
        <f>IF(OR(J180="",K180="",I180="",AF180=0,AD180=""),"",(K180-J180)*AF180*I180*AD180*AE180)</f>
        <v/>
      </c>
      <c r="Q180" s="26" t="n"/>
      <c r="R180" s="28" t="str">
        <f>IF(Q180&lt;&gt;"",Q180,IF(P180="","",P180-N(N180)+N(O180)))</f>
        <v/>
      </c>
      <c r="S180" s="27" t="str">
        <f>IF(OR(L180="",J180="",I180="",AD180=""),"",ABS(J180-L180)*I180*AD180*AE180)</f>
        <v/>
      </c>
      <c r="T180" s="29" t="str">
        <f>IF(OR(R180="",S180="",S180=0),"",R180/S180)</f>
        <v/>
      </c>
      <c r="U180" s="20" t="str">
        <f>IF(R180="","",IF(R180&gt;0,"Ganadora",IF(R180&lt;0,"Perdedora","BE")))</f>
        <v/>
      </c>
      <c r="V180" s="23" t="n"/>
      <c r="W180" s="23" t="n"/>
      <c r="X180" s="23" t="n"/>
      <c r="Y180" s="23" t="n"/>
      <c r="Z180" s="23" t="n"/>
      <c r="AA180" s="23" t="n"/>
      <c r="AB180" s="30" t="n"/>
      <c r="AC180" s="1" t="n"/>
      <c r="AD180" s="1" t="str">
        <f>IF(G180="","",IFERROR(INDEX('Listas'!$N$6:$N$35,MATCH(G180,'Listas'!$M$6:$M$35,0)),""))</f>
        <v/>
      </c>
      <c r="AE180">
        <f>IF(G180="",1,IFERROR(INDEX('Listas'!$P$6:$P$35,MATCH(G180,'Listas'!$M$6:$M$35,0)),1))</f>
        <v>1</v>
      </c>
      <c r="AF180">
        <f>IF(H180="Compra",1,IF(H180="Venta",-1,0))</f>
        <v>0</v>
      </c>
      <c r="AG180">
        <f>IF(AND(D180&lt;&gt;"",ISNUMBER(R180)),1,0)</f>
        <v>0</v>
      </c>
      <c r="AH180">
        <f>IF(AG180=0,0,IF(OR('Panel'!$D$5="Todas las cuentas",'Panel'!$D$5="",F180='Panel'!$D$5),1,0))</f>
        <v>0</v>
      </c>
      <c r="AI180">
        <f>IF(AH180=0,0,IF(AND(OR('Panel'!$G$5="",D180&gt;='Panel'!$G$5),OR('Panel'!$J$5="",D180&lt;='Panel'!$J$5)),1,0))</f>
        <v>0</v>
      </c>
      <c r="AJ180">
        <f>IF(AI180=1,R180,0)</f>
        <v>0</v>
      </c>
      <c r="AK180" t="str">
        <f>IF(AI180=1,'Panel'!$AB$4+SUM($AJ$5:AJ180),"")</f>
        <v/>
      </c>
      <c r="AL180">
        <f>IF(AI180=0,N(AL179),IF(R180&lt;0,N(AL179)+1,0))</f>
        <v>1</v>
      </c>
      <c r="AM180">
        <f>IF(AI180=0,N(AM179),IF(R180&gt;0,N(AM179)+1,0))</f>
        <v>0</v>
      </c>
      <c r="AN180">
        <f>IF(AI180=1,MAX('Panel'!$AB$4,N(AN179),AK180),N(AN179))</f>
        <v>21371.061500000033</v>
      </c>
      <c r="AO180">
        <f>IF(AI180=1,AN180-AK180,0)</f>
        <v>0</v>
      </c>
      <c r="AP180">
        <f>IF(AND(AI180=1,AN180&gt;0),AO180/AN180,0)</f>
        <v>0</v>
      </c>
      <c r="AQ180" t="str">
        <f>IF(AI180=1,SUM($AI$5:AI180),"")</f>
        <v/>
      </c>
      <c r="AR180" t="str">
        <f>IF(AI180=1,IF(COUNTIFS($D$5:D180,D180,$AI$5:AI180,1)=1,SUMIFS($AJ$5:$AJ$504,$D$5:$D$504,D180),""),"")</f>
        <v/>
      </c>
      <c r="AS180" t="str">
        <f>IF(AG180=1,WEEKDAY(D180,2),"")</f>
        <v/>
      </c>
      <c r="AT180" s="31" t="str">
        <f>IF(AG180=1,DATE(YEAR(D180),MONTH(D180),1),"")</f>
        <v/>
      </c>
      <c r="AU180">
        <f>IF(AG180=0,0,IF(AND(OR('Prop challenge'!$D$7="",F180='Prop challenge'!$D$7),OR('Prop challenge'!$D$9="",D180&gt;='Prop challenge'!$D$9)),1,0))</f>
        <v>0</v>
      </c>
      <c r="AV180">
        <f>IF(AU180=1,IF(COUNTIFS($D$5:D180,D180,$AU$5:AU180,1)=1,1,0),0)</f>
        <v>0</v>
      </c>
      <c r="AW180" t="str">
        <f>IF(AV180=1,SUM($AV$5:AV180),"")</f>
        <v/>
      </c>
      <c r="AX180" t="str">
        <f>IF(AV180=1,SUMIFS($R$5:$R$504,$D$5:$D$504,D180,$AU$5:$AU$504,1),"")</f>
        <v/>
      </c>
    </row>
    <row r="181">
      <c r="A181" s="20" t="str">
        <f>IF(AG181=1,ROW()-4,"")</f>
        <v/>
      </c>
      <c r="B181" s="21" t="n"/>
      <c r="C181" s="22" t="n"/>
      <c r="D181" s="21" t="n"/>
      <c r="E181" s="22" t="n"/>
      <c r="F181" s="23" t="n"/>
      <c r="G181" s="23" t="n"/>
      <c r="H181" s="23" t="n"/>
      <c r="I181" s="24" t="n"/>
      <c r="J181" s="25" t="n"/>
      <c r="K181" s="25" t="n"/>
      <c r="L181" s="25" t="n"/>
      <c r="M181" s="25" t="n"/>
      <c r="N181" s="26" t="n"/>
      <c r="O181" s="26" t="n"/>
      <c r="P181" s="27" t="str">
        <f>IF(OR(J181="",K181="",I181="",AF181=0,AD181=""),"",(K181-J181)*AF181*I181*AD181*AE181)</f>
        <v/>
      </c>
      <c r="Q181" s="26" t="n"/>
      <c r="R181" s="28" t="str">
        <f>IF(Q181&lt;&gt;"",Q181,IF(P181="","",P181-N(N181)+N(O181)))</f>
        <v/>
      </c>
      <c r="S181" s="27" t="str">
        <f>IF(OR(L181="",J181="",I181="",AD181=""),"",ABS(J181-L181)*I181*AD181*AE181)</f>
        <v/>
      </c>
      <c r="T181" s="29" t="str">
        <f>IF(OR(R181="",S181="",S181=0),"",R181/S181)</f>
        <v/>
      </c>
      <c r="U181" s="20" t="str">
        <f>IF(R181="","",IF(R181&gt;0,"Ganadora",IF(R181&lt;0,"Perdedora","BE")))</f>
        <v/>
      </c>
      <c r="V181" s="23" t="n"/>
      <c r="W181" s="23" t="n"/>
      <c r="X181" s="23" t="n"/>
      <c r="Y181" s="23" t="n"/>
      <c r="Z181" s="23" t="n"/>
      <c r="AA181" s="23" t="n"/>
      <c r="AB181" s="30" t="n"/>
      <c r="AC181" s="1" t="n"/>
      <c r="AD181" s="1" t="str">
        <f>IF(G181="","",IFERROR(INDEX('Listas'!$N$6:$N$35,MATCH(G181,'Listas'!$M$6:$M$35,0)),""))</f>
        <v/>
      </c>
      <c r="AE181">
        <f>IF(G181="",1,IFERROR(INDEX('Listas'!$P$6:$P$35,MATCH(G181,'Listas'!$M$6:$M$35,0)),1))</f>
        <v>1</v>
      </c>
      <c r="AF181">
        <f>IF(H181="Compra",1,IF(H181="Venta",-1,0))</f>
        <v>0</v>
      </c>
      <c r="AG181">
        <f>IF(AND(D181&lt;&gt;"",ISNUMBER(R181)),1,0)</f>
        <v>0</v>
      </c>
      <c r="AH181">
        <f>IF(AG181=0,0,IF(OR('Panel'!$D$5="Todas las cuentas",'Panel'!$D$5="",F181='Panel'!$D$5),1,0))</f>
        <v>0</v>
      </c>
      <c r="AI181">
        <f>IF(AH181=0,0,IF(AND(OR('Panel'!$G$5="",D181&gt;='Panel'!$G$5),OR('Panel'!$J$5="",D181&lt;='Panel'!$J$5)),1,0))</f>
        <v>0</v>
      </c>
      <c r="AJ181">
        <f>IF(AI181=1,R181,0)</f>
        <v>0</v>
      </c>
      <c r="AK181" t="str">
        <f>IF(AI181=1,'Panel'!$AB$4+SUM($AJ$5:AJ181),"")</f>
        <v/>
      </c>
      <c r="AL181">
        <f>IF(AI181=0,N(AL180),IF(R181&lt;0,N(AL180)+1,0))</f>
        <v>1</v>
      </c>
      <c r="AM181">
        <f>IF(AI181=0,N(AM180),IF(R181&gt;0,N(AM180)+1,0))</f>
        <v>0</v>
      </c>
      <c r="AN181">
        <f>IF(AI181=1,MAX('Panel'!$AB$4,N(AN180),AK181),N(AN180))</f>
        <v>21371.061500000033</v>
      </c>
      <c r="AO181">
        <f>IF(AI181=1,AN181-AK181,0)</f>
        <v>0</v>
      </c>
      <c r="AP181">
        <f>IF(AND(AI181=1,AN181&gt;0),AO181/AN181,0)</f>
        <v>0</v>
      </c>
      <c r="AQ181" t="str">
        <f>IF(AI181=1,SUM($AI$5:AI181),"")</f>
        <v/>
      </c>
      <c r="AR181" t="str">
        <f>IF(AI181=1,IF(COUNTIFS($D$5:D181,D181,$AI$5:AI181,1)=1,SUMIFS($AJ$5:$AJ$504,$D$5:$D$504,D181),""),"")</f>
        <v/>
      </c>
      <c r="AS181" t="str">
        <f>IF(AG181=1,WEEKDAY(D181,2),"")</f>
        <v/>
      </c>
      <c r="AT181" s="31" t="str">
        <f>IF(AG181=1,DATE(YEAR(D181),MONTH(D181),1),"")</f>
        <v/>
      </c>
      <c r="AU181">
        <f>IF(AG181=0,0,IF(AND(OR('Prop challenge'!$D$7="",F181='Prop challenge'!$D$7),OR('Prop challenge'!$D$9="",D181&gt;='Prop challenge'!$D$9)),1,0))</f>
        <v>0</v>
      </c>
      <c r="AV181">
        <f>IF(AU181=1,IF(COUNTIFS($D$5:D181,D181,$AU$5:AU181,1)=1,1,0),0)</f>
        <v>0</v>
      </c>
      <c r="AW181" t="str">
        <f>IF(AV181=1,SUM($AV$5:AV181),"")</f>
        <v/>
      </c>
      <c r="AX181" t="str">
        <f>IF(AV181=1,SUMIFS($R$5:$R$504,$D$5:$D$504,D181,$AU$5:$AU$504,1),"")</f>
        <v/>
      </c>
    </row>
    <row r="182">
      <c r="A182" s="20" t="str">
        <f>IF(AG182=1,ROW()-4,"")</f>
        <v/>
      </c>
      <c r="B182" s="21" t="n"/>
      <c r="C182" s="22" t="n"/>
      <c r="D182" s="21" t="n"/>
      <c r="E182" s="22" t="n"/>
      <c r="F182" s="23" t="n"/>
      <c r="G182" s="23" t="n"/>
      <c r="H182" s="23" t="n"/>
      <c r="I182" s="24" t="n"/>
      <c r="J182" s="25" t="n"/>
      <c r="K182" s="25" t="n"/>
      <c r="L182" s="25" t="n"/>
      <c r="M182" s="25" t="n"/>
      <c r="N182" s="26" t="n"/>
      <c r="O182" s="26" t="n"/>
      <c r="P182" s="27" t="str">
        <f>IF(OR(J182="",K182="",I182="",AF182=0,AD182=""),"",(K182-J182)*AF182*I182*AD182*AE182)</f>
        <v/>
      </c>
      <c r="Q182" s="26" t="n"/>
      <c r="R182" s="28" t="str">
        <f>IF(Q182&lt;&gt;"",Q182,IF(P182="","",P182-N(N182)+N(O182)))</f>
        <v/>
      </c>
      <c r="S182" s="27" t="str">
        <f>IF(OR(L182="",J182="",I182="",AD182=""),"",ABS(J182-L182)*I182*AD182*AE182)</f>
        <v/>
      </c>
      <c r="T182" s="29" t="str">
        <f>IF(OR(R182="",S182="",S182=0),"",R182/S182)</f>
        <v/>
      </c>
      <c r="U182" s="20" t="str">
        <f>IF(R182="","",IF(R182&gt;0,"Ganadora",IF(R182&lt;0,"Perdedora","BE")))</f>
        <v/>
      </c>
      <c r="V182" s="23" t="n"/>
      <c r="W182" s="23" t="n"/>
      <c r="X182" s="23" t="n"/>
      <c r="Y182" s="23" t="n"/>
      <c r="Z182" s="23" t="n"/>
      <c r="AA182" s="23" t="n"/>
      <c r="AB182" s="30" t="n"/>
      <c r="AC182" s="1" t="n"/>
      <c r="AD182" s="1" t="str">
        <f>IF(G182="","",IFERROR(INDEX('Listas'!$N$6:$N$35,MATCH(G182,'Listas'!$M$6:$M$35,0)),""))</f>
        <v/>
      </c>
      <c r="AE182">
        <f>IF(G182="",1,IFERROR(INDEX('Listas'!$P$6:$P$35,MATCH(G182,'Listas'!$M$6:$M$35,0)),1))</f>
        <v>1</v>
      </c>
      <c r="AF182">
        <f>IF(H182="Compra",1,IF(H182="Venta",-1,0))</f>
        <v>0</v>
      </c>
      <c r="AG182">
        <f>IF(AND(D182&lt;&gt;"",ISNUMBER(R182)),1,0)</f>
        <v>0</v>
      </c>
      <c r="AH182">
        <f>IF(AG182=0,0,IF(OR('Panel'!$D$5="Todas las cuentas",'Panel'!$D$5="",F182='Panel'!$D$5),1,0))</f>
        <v>0</v>
      </c>
      <c r="AI182">
        <f>IF(AH182=0,0,IF(AND(OR('Panel'!$G$5="",D182&gt;='Panel'!$G$5),OR('Panel'!$J$5="",D182&lt;='Panel'!$J$5)),1,0))</f>
        <v>0</v>
      </c>
      <c r="AJ182">
        <f>IF(AI182=1,R182,0)</f>
        <v>0</v>
      </c>
      <c r="AK182" t="str">
        <f>IF(AI182=1,'Panel'!$AB$4+SUM($AJ$5:AJ182),"")</f>
        <v/>
      </c>
      <c r="AL182">
        <f>IF(AI182=0,N(AL181),IF(R182&lt;0,N(AL181)+1,0))</f>
        <v>1</v>
      </c>
      <c r="AM182">
        <f>IF(AI182=0,N(AM181),IF(R182&gt;0,N(AM181)+1,0))</f>
        <v>0</v>
      </c>
      <c r="AN182">
        <f>IF(AI182=1,MAX('Panel'!$AB$4,N(AN181),AK182),N(AN181))</f>
        <v>21371.061500000033</v>
      </c>
      <c r="AO182">
        <f>IF(AI182=1,AN182-AK182,0)</f>
        <v>0</v>
      </c>
      <c r="AP182">
        <f>IF(AND(AI182=1,AN182&gt;0),AO182/AN182,0)</f>
        <v>0</v>
      </c>
      <c r="AQ182" t="str">
        <f>IF(AI182=1,SUM($AI$5:AI182),"")</f>
        <v/>
      </c>
      <c r="AR182" t="str">
        <f>IF(AI182=1,IF(COUNTIFS($D$5:D182,D182,$AI$5:AI182,1)=1,SUMIFS($AJ$5:$AJ$504,$D$5:$D$504,D182),""),"")</f>
        <v/>
      </c>
      <c r="AS182" t="str">
        <f>IF(AG182=1,WEEKDAY(D182,2),"")</f>
        <v/>
      </c>
      <c r="AT182" s="31" t="str">
        <f>IF(AG182=1,DATE(YEAR(D182),MONTH(D182),1),"")</f>
        <v/>
      </c>
      <c r="AU182">
        <f>IF(AG182=0,0,IF(AND(OR('Prop challenge'!$D$7="",F182='Prop challenge'!$D$7),OR('Prop challenge'!$D$9="",D182&gt;='Prop challenge'!$D$9)),1,0))</f>
        <v>0</v>
      </c>
      <c r="AV182">
        <f>IF(AU182=1,IF(COUNTIFS($D$5:D182,D182,$AU$5:AU182,1)=1,1,0),0)</f>
        <v>0</v>
      </c>
      <c r="AW182" t="str">
        <f>IF(AV182=1,SUM($AV$5:AV182),"")</f>
        <v/>
      </c>
      <c r="AX182" t="str">
        <f>IF(AV182=1,SUMIFS($R$5:$R$504,$D$5:$D$504,D182,$AU$5:$AU$504,1),"")</f>
        <v/>
      </c>
    </row>
    <row r="183">
      <c r="A183" s="20" t="str">
        <f>IF(AG183=1,ROW()-4,"")</f>
        <v/>
      </c>
      <c r="B183" s="21" t="n"/>
      <c r="C183" s="22" t="n"/>
      <c r="D183" s="21" t="n"/>
      <c r="E183" s="22" t="n"/>
      <c r="F183" s="23" t="n"/>
      <c r="G183" s="23" t="n"/>
      <c r="H183" s="23" t="n"/>
      <c r="I183" s="24" t="n"/>
      <c r="J183" s="25" t="n"/>
      <c r="K183" s="25" t="n"/>
      <c r="L183" s="25" t="n"/>
      <c r="M183" s="25" t="n"/>
      <c r="N183" s="26" t="n"/>
      <c r="O183" s="26" t="n"/>
      <c r="P183" s="27" t="str">
        <f>IF(OR(J183="",K183="",I183="",AF183=0,AD183=""),"",(K183-J183)*AF183*I183*AD183*AE183)</f>
        <v/>
      </c>
      <c r="Q183" s="26" t="n"/>
      <c r="R183" s="28" t="str">
        <f>IF(Q183&lt;&gt;"",Q183,IF(P183="","",P183-N(N183)+N(O183)))</f>
        <v/>
      </c>
      <c r="S183" s="27" t="str">
        <f>IF(OR(L183="",J183="",I183="",AD183=""),"",ABS(J183-L183)*I183*AD183*AE183)</f>
        <v/>
      </c>
      <c r="T183" s="29" t="str">
        <f>IF(OR(R183="",S183="",S183=0),"",R183/S183)</f>
        <v/>
      </c>
      <c r="U183" s="20" t="str">
        <f>IF(R183="","",IF(R183&gt;0,"Ganadora",IF(R183&lt;0,"Perdedora","BE")))</f>
        <v/>
      </c>
      <c r="V183" s="23" t="n"/>
      <c r="W183" s="23" t="n"/>
      <c r="X183" s="23" t="n"/>
      <c r="Y183" s="23" t="n"/>
      <c r="Z183" s="23" t="n"/>
      <c r="AA183" s="23" t="n"/>
      <c r="AB183" s="30" t="n"/>
      <c r="AC183" s="1" t="n"/>
      <c r="AD183" s="1" t="str">
        <f>IF(G183="","",IFERROR(INDEX('Listas'!$N$6:$N$35,MATCH(G183,'Listas'!$M$6:$M$35,0)),""))</f>
        <v/>
      </c>
      <c r="AE183">
        <f>IF(G183="",1,IFERROR(INDEX('Listas'!$P$6:$P$35,MATCH(G183,'Listas'!$M$6:$M$35,0)),1))</f>
        <v>1</v>
      </c>
      <c r="AF183">
        <f>IF(H183="Compra",1,IF(H183="Venta",-1,0))</f>
        <v>0</v>
      </c>
      <c r="AG183">
        <f>IF(AND(D183&lt;&gt;"",ISNUMBER(R183)),1,0)</f>
        <v>0</v>
      </c>
      <c r="AH183">
        <f>IF(AG183=0,0,IF(OR('Panel'!$D$5="Todas las cuentas",'Panel'!$D$5="",F183='Panel'!$D$5),1,0))</f>
        <v>0</v>
      </c>
      <c r="AI183">
        <f>IF(AH183=0,0,IF(AND(OR('Panel'!$G$5="",D183&gt;='Panel'!$G$5),OR('Panel'!$J$5="",D183&lt;='Panel'!$J$5)),1,0))</f>
        <v>0</v>
      </c>
      <c r="AJ183">
        <f>IF(AI183=1,R183,0)</f>
        <v>0</v>
      </c>
      <c r="AK183" t="str">
        <f>IF(AI183=1,'Panel'!$AB$4+SUM($AJ$5:AJ183),"")</f>
        <v/>
      </c>
      <c r="AL183">
        <f>IF(AI183=0,N(AL182),IF(R183&lt;0,N(AL182)+1,0))</f>
        <v>1</v>
      </c>
      <c r="AM183">
        <f>IF(AI183=0,N(AM182),IF(R183&gt;0,N(AM182)+1,0))</f>
        <v>0</v>
      </c>
      <c r="AN183">
        <f>IF(AI183=1,MAX('Panel'!$AB$4,N(AN182),AK183),N(AN182))</f>
        <v>21371.061500000033</v>
      </c>
      <c r="AO183">
        <f>IF(AI183=1,AN183-AK183,0)</f>
        <v>0</v>
      </c>
      <c r="AP183">
        <f>IF(AND(AI183=1,AN183&gt;0),AO183/AN183,0)</f>
        <v>0</v>
      </c>
      <c r="AQ183" t="str">
        <f>IF(AI183=1,SUM($AI$5:AI183),"")</f>
        <v/>
      </c>
      <c r="AR183" t="str">
        <f>IF(AI183=1,IF(COUNTIFS($D$5:D183,D183,$AI$5:AI183,1)=1,SUMIFS($AJ$5:$AJ$504,$D$5:$D$504,D183),""),"")</f>
        <v/>
      </c>
      <c r="AS183" t="str">
        <f>IF(AG183=1,WEEKDAY(D183,2),"")</f>
        <v/>
      </c>
      <c r="AT183" s="31" t="str">
        <f>IF(AG183=1,DATE(YEAR(D183),MONTH(D183),1),"")</f>
        <v/>
      </c>
      <c r="AU183">
        <f>IF(AG183=0,0,IF(AND(OR('Prop challenge'!$D$7="",F183='Prop challenge'!$D$7),OR('Prop challenge'!$D$9="",D183&gt;='Prop challenge'!$D$9)),1,0))</f>
        <v>0</v>
      </c>
      <c r="AV183">
        <f>IF(AU183=1,IF(COUNTIFS($D$5:D183,D183,$AU$5:AU183,1)=1,1,0),0)</f>
        <v>0</v>
      </c>
      <c r="AW183" t="str">
        <f>IF(AV183=1,SUM($AV$5:AV183),"")</f>
        <v/>
      </c>
      <c r="AX183" t="str">
        <f>IF(AV183=1,SUMIFS($R$5:$R$504,$D$5:$D$504,D183,$AU$5:$AU$504,1),"")</f>
        <v/>
      </c>
    </row>
    <row r="184">
      <c r="A184" s="20" t="str">
        <f>IF(AG184=1,ROW()-4,"")</f>
        <v/>
      </c>
      <c r="B184" s="21" t="n"/>
      <c r="C184" s="22" t="n"/>
      <c r="D184" s="21" t="n"/>
      <c r="E184" s="22" t="n"/>
      <c r="F184" s="23" t="n"/>
      <c r="G184" s="23" t="n"/>
      <c r="H184" s="23" t="n"/>
      <c r="I184" s="24" t="n"/>
      <c r="J184" s="25" t="n"/>
      <c r="K184" s="25" t="n"/>
      <c r="L184" s="25" t="n"/>
      <c r="M184" s="25" t="n"/>
      <c r="N184" s="26" t="n"/>
      <c r="O184" s="26" t="n"/>
      <c r="P184" s="27" t="str">
        <f>IF(OR(J184="",K184="",I184="",AF184=0,AD184=""),"",(K184-J184)*AF184*I184*AD184*AE184)</f>
        <v/>
      </c>
      <c r="Q184" s="26" t="n"/>
      <c r="R184" s="28" t="str">
        <f>IF(Q184&lt;&gt;"",Q184,IF(P184="","",P184-N(N184)+N(O184)))</f>
        <v/>
      </c>
      <c r="S184" s="27" t="str">
        <f>IF(OR(L184="",J184="",I184="",AD184=""),"",ABS(J184-L184)*I184*AD184*AE184)</f>
        <v/>
      </c>
      <c r="T184" s="29" t="str">
        <f>IF(OR(R184="",S184="",S184=0),"",R184/S184)</f>
        <v/>
      </c>
      <c r="U184" s="20" t="str">
        <f>IF(R184="","",IF(R184&gt;0,"Ganadora",IF(R184&lt;0,"Perdedora","BE")))</f>
        <v/>
      </c>
      <c r="V184" s="23" t="n"/>
      <c r="W184" s="23" t="n"/>
      <c r="X184" s="23" t="n"/>
      <c r="Y184" s="23" t="n"/>
      <c r="Z184" s="23" t="n"/>
      <c r="AA184" s="23" t="n"/>
      <c r="AB184" s="30" t="n"/>
      <c r="AC184" s="1" t="n"/>
      <c r="AD184" s="1" t="str">
        <f>IF(G184="","",IFERROR(INDEX('Listas'!$N$6:$N$35,MATCH(G184,'Listas'!$M$6:$M$35,0)),""))</f>
        <v/>
      </c>
      <c r="AE184">
        <f>IF(G184="",1,IFERROR(INDEX('Listas'!$P$6:$P$35,MATCH(G184,'Listas'!$M$6:$M$35,0)),1))</f>
        <v>1</v>
      </c>
      <c r="AF184">
        <f>IF(H184="Compra",1,IF(H184="Venta",-1,0))</f>
        <v>0</v>
      </c>
      <c r="AG184">
        <f>IF(AND(D184&lt;&gt;"",ISNUMBER(R184)),1,0)</f>
        <v>0</v>
      </c>
      <c r="AH184">
        <f>IF(AG184=0,0,IF(OR('Panel'!$D$5="Todas las cuentas",'Panel'!$D$5="",F184='Panel'!$D$5),1,0))</f>
        <v>0</v>
      </c>
      <c r="AI184">
        <f>IF(AH184=0,0,IF(AND(OR('Panel'!$G$5="",D184&gt;='Panel'!$G$5),OR('Panel'!$J$5="",D184&lt;='Panel'!$J$5)),1,0))</f>
        <v>0</v>
      </c>
      <c r="AJ184">
        <f>IF(AI184=1,R184,0)</f>
        <v>0</v>
      </c>
      <c r="AK184" t="str">
        <f>IF(AI184=1,'Panel'!$AB$4+SUM($AJ$5:AJ184),"")</f>
        <v/>
      </c>
      <c r="AL184">
        <f>IF(AI184=0,N(AL183),IF(R184&lt;0,N(AL183)+1,0))</f>
        <v>1</v>
      </c>
      <c r="AM184">
        <f>IF(AI184=0,N(AM183),IF(R184&gt;0,N(AM183)+1,0))</f>
        <v>0</v>
      </c>
      <c r="AN184">
        <f>IF(AI184=1,MAX('Panel'!$AB$4,N(AN183),AK184),N(AN183))</f>
        <v>21371.061500000033</v>
      </c>
      <c r="AO184">
        <f>IF(AI184=1,AN184-AK184,0)</f>
        <v>0</v>
      </c>
      <c r="AP184">
        <f>IF(AND(AI184=1,AN184&gt;0),AO184/AN184,0)</f>
        <v>0</v>
      </c>
      <c r="AQ184" t="str">
        <f>IF(AI184=1,SUM($AI$5:AI184),"")</f>
        <v/>
      </c>
      <c r="AR184" t="str">
        <f>IF(AI184=1,IF(COUNTIFS($D$5:D184,D184,$AI$5:AI184,1)=1,SUMIFS($AJ$5:$AJ$504,$D$5:$D$504,D184),""),"")</f>
        <v/>
      </c>
      <c r="AS184" t="str">
        <f>IF(AG184=1,WEEKDAY(D184,2),"")</f>
        <v/>
      </c>
      <c r="AT184" s="31" t="str">
        <f>IF(AG184=1,DATE(YEAR(D184),MONTH(D184),1),"")</f>
        <v/>
      </c>
      <c r="AU184">
        <f>IF(AG184=0,0,IF(AND(OR('Prop challenge'!$D$7="",F184='Prop challenge'!$D$7),OR('Prop challenge'!$D$9="",D184&gt;='Prop challenge'!$D$9)),1,0))</f>
        <v>0</v>
      </c>
      <c r="AV184">
        <f>IF(AU184=1,IF(COUNTIFS($D$5:D184,D184,$AU$5:AU184,1)=1,1,0),0)</f>
        <v>0</v>
      </c>
      <c r="AW184" t="str">
        <f>IF(AV184=1,SUM($AV$5:AV184),"")</f>
        <v/>
      </c>
      <c r="AX184" t="str">
        <f>IF(AV184=1,SUMIFS($R$5:$R$504,$D$5:$D$504,D184,$AU$5:$AU$504,1),"")</f>
        <v/>
      </c>
    </row>
    <row r="185">
      <c r="A185" s="20" t="str">
        <f>IF(AG185=1,ROW()-4,"")</f>
        <v/>
      </c>
      <c r="B185" s="21" t="n"/>
      <c r="C185" s="22" t="n"/>
      <c r="D185" s="21" t="n"/>
      <c r="E185" s="22" t="n"/>
      <c r="F185" s="23" t="n"/>
      <c r="G185" s="23" t="n"/>
      <c r="H185" s="23" t="n"/>
      <c r="I185" s="24" t="n"/>
      <c r="J185" s="25" t="n"/>
      <c r="K185" s="25" t="n"/>
      <c r="L185" s="25" t="n"/>
      <c r="M185" s="25" t="n"/>
      <c r="N185" s="26" t="n"/>
      <c r="O185" s="26" t="n"/>
      <c r="P185" s="27" t="str">
        <f>IF(OR(J185="",K185="",I185="",AF185=0,AD185=""),"",(K185-J185)*AF185*I185*AD185*AE185)</f>
        <v/>
      </c>
      <c r="Q185" s="26" t="n"/>
      <c r="R185" s="28" t="str">
        <f>IF(Q185&lt;&gt;"",Q185,IF(P185="","",P185-N(N185)+N(O185)))</f>
        <v/>
      </c>
      <c r="S185" s="27" t="str">
        <f>IF(OR(L185="",J185="",I185="",AD185=""),"",ABS(J185-L185)*I185*AD185*AE185)</f>
        <v/>
      </c>
      <c r="T185" s="29" t="str">
        <f>IF(OR(R185="",S185="",S185=0),"",R185/S185)</f>
        <v/>
      </c>
      <c r="U185" s="20" t="str">
        <f>IF(R185="","",IF(R185&gt;0,"Ganadora",IF(R185&lt;0,"Perdedora","BE")))</f>
        <v/>
      </c>
      <c r="V185" s="23" t="n"/>
      <c r="W185" s="23" t="n"/>
      <c r="X185" s="23" t="n"/>
      <c r="Y185" s="23" t="n"/>
      <c r="Z185" s="23" t="n"/>
      <c r="AA185" s="23" t="n"/>
      <c r="AB185" s="30" t="n"/>
      <c r="AC185" s="1" t="n"/>
      <c r="AD185" s="1" t="str">
        <f>IF(G185="","",IFERROR(INDEX('Listas'!$N$6:$N$35,MATCH(G185,'Listas'!$M$6:$M$35,0)),""))</f>
        <v/>
      </c>
      <c r="AE185">
        <f>IF(G185="",1,IFERROR(INDEX('Listas'!$P$6:$P$35,MATCH(G185,'Listas'!$M$6:$M$35,0)),1))</f>
        <v>1</v>
      </c>
      <c r="AF185">
        <f>IF(H185="Compra",1,IF(H185="Venta",-1,0))</f>
        <v>0</v>
      </c>
      <c r="AG185">
        <f>IF(AND(D185&lt;&gt;"",ISNUMBER(R185)),1,0)</f>
        <v>0</v>
      </c>
      <c r="AH185">
        <f>IF(AG185=0,0,IF(OR('Panel'!$D$5="Todas las cuentas",'Panel'!$D$5="",F185='Panel'!$D$5),1,0))</f>
        <v>0</v>
      </c>
      <c r="AI185">
        <f>IF(AH185=0,0,IF(AND(OR('Panel'!$G$5="",D185&gt;='Panel'!$G$5),OR('Panel'!$J$5="",D185&lt;='Panel'!$J$5)),1,0))</f>
        <v>0</v>
      </c>
      <c r="AJ185">
        <f>IF(AI185=1,R185,0)</f>
        <v>0</v>
      </c>
      <c r="AK185" t="str">
        <f>IF(AI185=1,'Panel'!$AB$4+SUM($AJ$5:AJ185),"")</f>
        <v/>
      </c>
      <c r="AL185">
        <f>IF(AI185=0,N(AL184),IF(R185&lt;0,N(AL184)+1,0))</f>
        <v>1</v>
      </c>
      <c r="AM185">
        <f>IF(AI185=0,N(AM184),IF(R185&gt;0,N(AM184)+1,0))</f>
        <v>0</v>
      </c>
      <c r="AN185">
        <f>IF(AI185=1,MAX('Panel'!$AB$4,N(AN184),AK185),N(AN184))</f>
        <v>21371.061500000033</v>
      </c>
      <c r="AO185">
        <f>IF(AI185=1,AN185-AK185,0)</f>
        <v>0</v>
      </c>
      <c r="AP185">
        <f>IF(AND(AI185=1,AN185&gt;0),AO185/AN185,0)</f>
        <v>0</v>
      </c>
      <c r="AQ185" t="str">
        <f>IF(AI185=1,SUM($AI$5:AI185),"")</f>
        <v/>
      </c>
      <c r="AR185" t="str">
        <f>IF(AI185=1,IF(COUNTIFS($D$5:D185,D185,$AI$5:AI185,1)=1,SUMIFS($AJ$5:$AJ$504,$D$5:$D$504,D185),""),"")</f>
        <v/>
      </c>
      <c r="AS185" t="str">
        <f>IF(AG185=1,WEEKDAY(D185,2),"")</f>
        <v/>
      </c>
      <c r="AT185" s="31" t="str">
        <f>IF(AG185=1,DATE(YEAR(D185),MONTH(D185),1),"")</f>
        <v/>
      </c>
      <c r="AU185">
        <f>IF(AG185=0,0,IF(AND(OR('Prop challenge'!$D$7="",F185='Prop challenge'!$D$7),OR('Prop challenge'!$D$9="",D185&gt;='Prop challenge'!$D$9)),1,0))</f>
        <v>0</v>
      </c>
      <c r="AV185">
        <f>IF(AU185=1,IF(COUNTIFS($D$5:D185,D185,$AU$5:AU185,1)=1,1,0),0)</f>
        <v>0</v>
      </c>
      <c r="AW185" t="str">
        <f>IF(AV185=1,SUM($AV$5:AV185),"")</f>
        <v/>
      </c>
      <c r="AX185" t="str">
        <f>IF(AV185=1,SUMIFS($R$5:$R$504,$D$5:$D$504,D185,$AU$5:$AU$504,1),"")</f>
        <v/>
      </c>
    </row>
    <row r="186">
      <c r="A186" s="20" t="str">
        <f>IF(AG186=1,ROW()-4,"")</f>
        <v/>
      </c>
      <c r="B186" s="21" t="n"/>
      <c r="C186" s="22" t="n"/>
      <c r="D186" s="21" t="n"/>
      <c r="E186" s="22" t="n"/>
      <c r="F186" s="23" t="n"/>
      <c r="G186" s="23" t="n"/>
      <c r="H186" s="23" t="n"/>
      <c r="I186" s="24" t="n"/>
      <c r="J186" s="25" t="n"/>
      <c r="K186" s="25" t="n"/>
      <c r="L186" s="25" t="n"/>
      <c r="M186" s="25" t="n"/>
      <c r="N186" s="26" t="n"/>
      <c r="O186" s="26" t="n"/>
      <c r="P186" s="27" t="str">
        <f>IF(OR(J186="",K186="",I186="",AF186=0,AD186=""),"",(K186-J186)*AF186*I186*AD186*AE186)</f>
        <v/>
      </c>
      <c r="Q186" s="26" t="n"/>
      <c r="R186" s="28" t="str">
        <f>IF(Q186&lt;&gt;"",Q186,IF(P186="","",P186-N(N186)+N(O186)))</f>
        <v/>
      </c>
      <c r="S186" s="27" t="str">
        <f>IF(OR(L186="",J186="",I186="",AD186=""),"",ABS(J186-L186)*I186*AD186*AE186)</f>
        <v/>
      </c>
      <c r="T186" s="29" t="str">
        <f>IF(OR(R186="",S186="",S186=0),"",R186/S186)</f>
        <v/>
      </c>
      <c r="U186" s="20" t="str">
        <f>IF(R186="","",IF(R186&gt;0,"Ganadora",IF(R186&lt;0,"Perdedora","BE")))</f>
        <v/>
      </c>
      <c r="V186" s="23" t="n"/>
      <c r="W186" s="23" t="n"/>
      <c r="X186" s="23" t="n"/>
      <c r="Y186" s="23" t="n"/>
      <c r="Z186" s="23" t="n"/>
      <c r="AA186" s="23" t="n"/>
      <c r="AB186" s="30" t="n"/>
      <c r="AC186" s="1" t="n"/>
      <c r="AD186" s="1" t="str">
        <f>IF(G186="","",IFERROR(INDEX('Listas'!$N$6:$N$35,MATCH(G186,'Listas'!$M$6:$M$35,0)),""))</f>
        <v/>
      </c>
      <c r="AE186">
        <f>IF(G186="",1,IFERROR(INDEX('Listas'!$P$6:$P$35,MATCH(G186,'Listas'!$M$6:$M$35,0)),1))</f>
        <v>1</v>
      </c>
      <c r="AF186">
        <f>IF(H186="Compra",1,IF(H186="Venta",-1,0))</f>
        <v>0</v>
      </c>
      <c r="AG186">
        <f>IF(AND(D186&lt;&gt;"",ISNUMBER(R186)),1,0)</f>
        <v>0</v>
      </c>
      <c r="AH186">
        <f>IF(AG186=0,0,IF(OR('Panel'!$D$5="Todas las cuentas",'Panel'!$D$5="",F186='Panel'!$D$5),1,0))</f>
        <v>0</v>
      </c>
      <c r="AI186">
        <f>IF(AH186=0,0,IF(AND(OR('Panel'!$G$5="",D186&gt;='Panel'!$G$5),OR('Panel'!$J$5="",D186&lt;='Panel'!$J$5)),1,0))</f>
        <v>0</v>
      </c>
      <c r="AJ186">
        <f>IF(AI186=1,R186,0)</f>
        <v>0</v>
      </c>
      <c r="AK186" t="str">
        <f>IF(AI186=1,'Panel'!$AB$4+SUM($AJ$5:AJ186),"")</f>
        <v/>
      </c>
      <c r="AL186">
        <f>IF(AI186=0,N(AL185),IF(R186&lt;0,N(AL185)+1,0))</f>
        <v>1</v>
      </c>
      <c r="AM186">
        <f>IF(AI186=0,N(AM185),IF(R186&gt;0,N(AM185)+1,0))</f>
        <v>0</v>
      </c>
      <c r="AN186">
        <f>IF(AI186=1,MAX('Panel'!$AB$4,N(AN185),AK186),N(AN185))</f>
        <v>21371.061500000033</v>
      </c>
      <c r="AO186">
        <f>IF(AI186=1,AN186-AK186,0)</f>
        <v>0</v>
      </c>
      <c r="AP186">
        <f>IF(AND(AI186=1,AN186&gt;0),AO186/AN186,0)</f>
        <v>0</v>
      </c>
      <c r="AQ186" t="str">
        <f>IF(AI186=1,SUM($AI$5:AI186),"")</f>
        <v/>
      </c>
      <c r="AR186" t="str">
        <f>IF(AI186=1,IF(COUNTIFS($D$5:D186,D186,$AI$5:AI186,1)=1,SUMIFS($AJ$5:$AJ$504,$D$5:$D$504,D186),""),"")</f>
        <v/>
      </c>
      <c r="AS186" t="str">
        <f>IF(AG186=1,WEEKDAY(D186,2),"")</f>
        <v/>
      </c>
      <c r="AT186" s="31" t="str">
        <f>IF(AG186=1,DATE(YEAR(D186),MONTH(D186),1),"")</f>
        <v/>
      </c>
      <c r="AU186">
        <f>IF(AG186=0,0,IF(AND(OR('Prop challenge'!$D$7="",F186='Prop challenge'!$D$7),OR('Prop challenge'!$D$9="",D186&gt;='Prop challenge'!$D$9)),1,0))</f>
        <v>0</v>
      </c>
      <c r="AV186">
        <f>IF(AU186=1,IF(COUNTIFS($D$5:D186,D186,$AU$5:AU186,1)=1,1,0),0)</f>
        <v>0</v>
      </c>
      <c r="AW186" t="str">
        <f>IF(AV186=1,SUM($AV$5:AV186),"")</f>
        <v/>
      </c>
      <c r="AX186" t="str">
        <f>IF(AV186=1,SUMIFS($R$5:$R$504,$D$5:$D$504,D186,$AU$5:$AU$504,1),"")</f>
        <v/>
      </c>
    </row>
    <row r="187">
      <c r="A187" s="20" t="str">
        <f>IF(AG187=1,ROW()-4,"")</f>
        <v/>
      </c>
      <c r="B187" s="21" t="n"/>
      <c r="C187" s="22" t="n"/>
      <c r="D187" s="21" t="n"/>
      <c r="E187" s="22" t="n"/>
      <c r="F187" s="23" t="n"/>
      <c r="G187" s="23" t="n"/>
      <c r="H187" s="23" t="n"/>
      <c r="I187" s="24" t="n"/>
      <c r="J187" s="25" t="n"/>
      <c r="K187" s="25" t="n"/>
      <c r="L187" s="25" t="n"/>
      <c r="M187" s="25" t="n"/>
      <c r="N187" s="26" t="n"/>
      <c r="O187" s="26" t="n"/>
      <c r="P187" s="27" t="str">
        <f>IF(OR(J187="",K187="",I187="",AF187=0,AD187=""),"",(K187-J187)*AF187*I187*AD187*AE187)</f>
        <v/>
      </c>
      <c r="Q187" s="26" t="n"/>
      <c r="R187" s="28" t="str">
        <f>IF(Q187&lt;&gt;"",Q187,IF(P187="","",P187-N(N187)+N(O187)))</f>
        <v/>
      </c>
      <c r="S187" s="27" t="str">
        <f>IF(OR(L187="",J187="",I187="",AD187=""),"",ABS(J187-L187)*I187*AD187*AE187)</f>
        <v/>
      </c>
      <c r="T187" s="29" t="str">
        <f>IF(OR(R187="",S187="",S187=0),"",R187/S187)</f>
        <v/>
      </c>
      <c r="U187" s="20" t="str">
        <f>IF(R187="","",IF(R187&gt;0,"Ganadora",IF(R187&lt;0,"Perdedora","BE")))</f>
        <v/>
      </c>
      <c r="V187" s="23" t="n"/>
      <c r="W187" s="23" t="n"/>
      <c r="X187" s="23" t="n"/>
      <c r="Y187" s="23" t="n"/>
      <c r="Z187" s="23" t="n"/>
      <c r="AA187" s="23" t="n"/>
      <c r="AB187" s="30" t="n"/>
      <c r="AC187" s="1" t="n"/>
      <c r="AD187" s="1" t="str">
        <f>IF(G187="","",IFERROR(INDEX('Listas'!$N$6:$N$35,MATCH(G187,'Listas'!$M$6:$M$35,0)),""))</f>
        <v/>
      </c>
      <c r="AE187">
        <f>IF(G187="",1,IFERROR(INDEX('Listas'!$P$6:$P$35,MATCH(G187,'Listas'!$M$6:$M$35,0)),1))</f>
        <v>1</v>
      </c>
      <c r="AF187">
        <f>IF(H187="Compra",1,IF(H187="Venta",-1,0))</f>
        <v>0</v>
      </c>
      <c r="AG187">
        <f>IF(AND(D187&lt;&gt;"",ISNUMBER(R187)),1,0)</f>
        <v>0</v>
      </c>
      <c r="AH187">
        <f>IF(AG187=0,0,IF(OR('Panel'!$D$5="Todas las cuentas",'Panel'!$D$5="",F187='Panel'!$D$5),1,0))</f>
        <v>0</v>
      </c>
      <c r="AI187">
        <f>IF(AH187=0,0,IF(AND(OR('Panel'!$G$5="",D187&gt;='Panel'!$G$5),OR('Panel'!$J$5="",D187&lt;='Panel'!$J$5)),1,0))</f>
        <v>0</v>
      </c>
      <c r="AJ187">
        <f>IF(AI187=1,R187,0)</f>
        <v>0</v>
      </c>
      <c r="AK187" t="str">
        <f>IF(AI187=1,'Panel'!$AB$4+SUM($AJ$5:AJ187),"")</f>
        <v/>
      </c>
      <c r="AL187">
        <f>IF(AI187=0,N(AL186),IF(R187&lt;0,N(AL186)+1,0))</f>
        <v>1</v>
      </c>
      <c r="AM187">
        <f>IF(AI187=0,N(AM186),IF(R187&gt;0,N(AM186)+1,0))</f>
        <v>0</v>
      </c>
      <c r="AN187">
        <f>IF(AI187=1,MAX('Panel'!$AB$4,N(AN186),AK187),N(AN186))</f>
        <v>21371.061500000033</v>
      </c>
      <c r="AO187">
        <f>IF(AI187=1,AN187-AK187,0)</f>
        <v>0</v>
      </c>
      <c r="AP187">
        <f>IF(AND(AI187=1,AN187&gt;0),AO187/AN187,0)</f>
        <v>0</v>
      </c>
      <c r="AQ187" t="str">
        <f>IF(AI187=1,SUM($AI$5:AI187),"")</f>
        <v/>
      </c>
      <c r="AR187" t="str">
        <f>IF(AI187=1,IF(COUNTIFS($D$5:D187,D187,$AI$5:AI187,1)=1,SUMIFS($AJ$5:$AJ$504,$D$5:$D$504,D187),""),"")</f>
        <v/>
      </c>
      <c r="AS187" t="str">
        <f>IF(AG187=1,WEEKDAY(D187,2),"")</f>
        <v/>
      </c>
      <c r="AT187" s="31" t="str">
        <f>IF(AG187=1,DATE(YEAR(D187),MONTH(D187),1),"")</f>
        <v/>
      </c>
      <c r="AU187">
        <f>IF(AG187=0,0,IF(AND(OR('Prop challenge'!$D$7="",F187='Prop challenge'!$D$7),OR('Prop challenge'!$D$9="",D187&gt;='Prop challenge'!$D$9)),1,0))</f>
        <v>0</v>
      </c>
      <c r="AV187">
        <f>IF(AU187=1,IF(COUNTIFS($D$5:D187,D187,$AU$5:AU187,1)=1,1,0),0)</f>
        <v>0</v>
      </c>
      <c r="AW187" t="str">
        <f>IF(AV187=1,SUM($AV$5:AV187),"")</f>
        <v/>
      </c>
      <c r="AX187" t="str">
        <f>IF(AV187=1,SUMIFS($R$5:$R$504,$D$5:$D$504,D187,$AU$5:$AU$504,1),"")</f>
        <v/>
      </c>
    </row>
    <row r="188">
      <c r="A188" s="20" t="str">
        <f>IF(AG188=1,ROW()-4,"")</f>
        <v/>
      </c>
      <c r="B188" s="21" t="n"/>
      <c r="C188" s="22" t="n"/>
      <c r="D188" s="21" t="n"/>
      <c r="E188" s="22" t="n"/>
      <c r="F188" s="23" t="n"/>
      <c r="G188" s="23" t="n"/>
      <c r="H188" s="23" t="n"/>
      <c r="I188" s="24" t="n"/>
      <c r="J188" s="25" t="n"/>
      <c r="K188" s="25" t="n"/>
      <c r="L188" s="25" t="n"/>
      <c r="M188" s="25" t="n"/>
      <c r="N188" s="26" t="n"/>
      <c r="O188" s="26" t="n"/>
      <c r="P188" s="27" t="str">
        <f>IF(OR(J188="",K188="",I188="",AF188=0,AD188=""),"",(K188-J188)*AF188*I188*AD188*AE188)</f>
        <v/>
      </c>
      <c r="Q188" s="26" t="n"/>
      <c r="R188" s="28" t="str">
        <f>IF(Q188&lt;&gt;"",Q188,IF(P188="","",P188-N(N188)+N(O188)))</f>
        <v/>
      </c>
      <c r="S188" s="27" t="str">
        <f>IF(OR(L188="",J188="",I188="",AD188=""),"",ABS(J188-L188)*I188*AD188*AE188)</f>
        <v/>
      </c>
      <c r="T188" s="29" t="str">
        <f>IF(OR(R188="",S188="",S188=0),"",R188/S188)</f>
        <v/>
      </c>
      <c r="U188" s="20" t="str">
        <f>IF(R188="","",IF(R188&gt;0,"Ganadora",IF(R188&lt;0,"Perdedora","BE")))</f>
        <v/>
      </c>
      <c r="V188" s="23" t="n"/>
      <c r="W188" s="23" t="n"/>
      <c r="X188" s="23" t="n"/>
      <c r="Y188" s="23" t="n"/>
      <c r="Z188" s="23" t="n"/>
      <c r="AA188" s="23" t="n"/>
      <c r="AB188" s="30" t="n"/>
      <c r="AC188" s="1" t="n"/>
      <c r="AD188" s="1" t="str">
        <f>IF(G188="","",IFERROR(INDEX('Listas'!$N$6:$N$35,MATCH(G188,'Listas'!$M$6:$M$35,0)),""))</f>
        <v/>
      </c>
      <c r="AE188">
        <f>IF(G188="",1,IFERROR(INDEX('Listas'!$P$6:$P$35,MATCH(G188,'Listas'!$M$6:$M$35,0)),1))</f>
        <v>1</v>
      </c>
      <c r="AF188">
        <f>IF(H188="Compra",1,IF(H188="Venta",-1,0))</f>
        <v>0</v>
      </c>
      <c r="AG188">
        <f>IF(AND(D188&lt;&gt;"",ISNUMBER(R188)),1,0)</f>
        <v>0</v>
      </c>
      <c r="AH188">
        <f>IF(AG188=0,0,IF(OR('Panel'!$D$5="Todas las cuentas",'Panel'!$D$5="",F188='Panel'!$D$5),1,0))</f>
        <v>0</v>
      </c>
      <c r="AI188">
        <f>IF(AH188=0,0,IF(AND(OR('Panel'!$G$5="",D188&gt;='Panel'!$G$5),OR('Panel'!$J$5="",D188&lt;='Panel'!$J$5)),1,0))</f>
        <v>0</v>
      </c>
      <c r="AJ188">
        <f>IF(AI188=1,R188,0)</f>
        <v>0</v>
      </c>
      <c r="AK188" t="str">
        <f>IF(AI188=1,'Panel'!$AB$4+SUM($AJ$5:AJ188),"")</f>
        <v/>
      </c>
      <c r="AL188">
        <f>IF(AI188=0,N(AL187),IF(R188&lt;0,N(AL187)+1,0))</f>
        <v>1</v>
      </c>
      <c r="AM188">
        <f>IF(AI188=0,N(AM187),IF(R188&gt;0,N(AM187)+1,0))</f>
        <v>0</v>
      </c>
      <c r="AN188">
        <f>IF(AI188=1,MAX('Panel'!$AB$4,N(AN187),AK188),N(AN187))</f>
        <v>21371.061500000033</v>
      </c>
      <c r="AO188">
        <f>IF(AI188=1,AN188-AK188,0)</f>
        <v>0</v>
      </c>
      <c r="AP188">
        <f>IF(AND(AI188=1,AN188&gt;0),AO188/AN188,0)</f>
        <v>0</v>
      </c>
      <c r="AQ188" t="str">
        <f>IF(AI188=1,SUM($AI$5:AI188),"")</f>
        <v/>
      </c>
      <c r="AR188" t="str">
        <f>IF(AI188=1,IF(COUNTIFS($D$5:D188,D188,$AI$5:AI188,1)=1,SUMIFS($AJ$5:$AJ$504,$D$5:$D$504,D188),""),"")</f>
        <v/>
      </c>
      <c r="AS188" t="str">
        <f>IF(AG188=1,WEEKDAY(D188,2),"")</f>
        <v/>
      </c>
      <c r="AT188" s="31" t="str">
        <f>IF(AG188=1,DATE(YEAR(D188),MONTH(D188),1),"")</f>
        <v/>
      </c>
      <c r="AU188">
        <f>IF(AG188=0,0,IF(AND(OR('Prop challenge'!$D$7="",F188='Prop challenge'!$D$7),OR('Prop challenge'!$D$9="",D188&gt;='Prop challenge'!$D$9)),1,0))</f>
        <v>0</v>
      </c>
      <c r="AV188">
        <f>IF(AU188=1,IF(COUNTIFS($D$5:D188,D188,$AU$5:AU188,1)=1,1,0),0)</f>
        <v>0</v>
      </c>
      <c r="AW188" t="str">
        <f>IF(AV188=1,SUM($AV$5:AV188),"")</f>
        <v/>
      </c>
      <c r="AX188" t="str">
        <f>IF(AV188=1,SUMIFS($R$5:$R$504,$D$5:$D$504,D188,$AU$5:$AU$504,1),"")</f>
        <v/>
      </c>
    </row>
    <row r="189">
      <c r="A189" s="20" t="str">
        <f>IF(AG189=1,ROW()-4,"")</f>
        <v/>
      </c>
      <c r="B189" s="21" t="n"/>
      <c r="C189" s="22" t="n"/>
      <c r="D189" s="21" t="n"/>
      <c r="E189" s="22" t="n"/>
      <c r="F189" s="23" t="n"/>
      <c r="G189" s="23" t="n"/>
      <c r="H189" s="23" t="n"/>
      <c r="I189" s="24" t="n"/>
      <c r="J189" s="25" t="n"/>
      <c r="K189" s="25" t="n"/>
      <c r="L189" s="25" t="n"/>
      <c r="M189" s="25" t="n"/>
      <c r="N189" s="26" t="n"/>
      <c r="O189" s="26" t="n"/>
      <c r="P189" s="27" t="str">
        <f>IF(OR(J189="",K189="",I189="",AF189=0,AD189=""),"",(K189-J189)*AF189*I189*AD189*AE189)</f>
        <v/>
      </c>
      <c r="Q189" s="26" t="n"/>
      <c r="R189" s="28" t="str">
        <f>IF(Q189&lt;&gt;"",Q189,IF(P189="","",P189-N(N189)+N(O189)))</f>
        <v/>
      </c>
      <c r="S189" s="27" t="str">
        <f>IF(OR(L189="",J189="",I189="",AD189=""),"",ABS(J189-L189)*I189*AD189*AE189)</f>
        <v/>
      </c>
      <c r="T189" s="29" t="str">
        <f>IF(OR(R189="",S189="",S189=0),"",R189/S189)</f>
        <v/>
      </c>
      <c r="U189" s="20" t="str">
        <f>IF(R189="","",IF(R189&gt;0,"Ganadora",IF(R189&lt;0,"Perdedora","BE")))</f>
        <v/>
      </c>
      <c r="V189" s="23" t="n"/>
      <c r="W189" s="23" t="n"/>
      <c r="X189" s="23" t="n"/>
      <c r="Y189" s="23" t="n"/>
      <c r="Z189" s="23" t="n"/>
      <c r="AA189" s="23" t="n"/>
      <c r="AB189" s="30" t="n"/>
      <c r="AC189" s="1" t="n"/>
      <c r="AD189" s="1" t="str">
        <f>IF(G189="","",IFERROR(INDEX('Listas'!$N$6:$N$35,MATCH(G189,'Listas'!$M$6:$M$35,0)),""))</f>
        <v/>
      </c>
      <c r="AE189">
        <f>IF(G189="",1,IFERROR(INDEX('Listas'!$P$6:$P$35,MATCH(G189,'Listas'!$M$6:$M$35,0)),1))</f>
        <v>1</v>
      </c>
      <c r="AF189">
        <f>IF(H189="Compra",1,IF(H189="Venta",-1,0))</f>
        <v>0</v>
      </c>
      <c r="AG189">
        <f>IF(AND(D189&lt;&gt;"",ISNUMBER(R189)),1,0)</f>
        <v>0</v>
      </c>
      <c r="AH189">
        <f>IF(AG189=0,0,IF(OR('Panel'!$D$5="Todas las cuentas",'Panel'!$D$5="",F189='Panel'!$D$5),1,0))</f>
        <v>0</v>
      </c>
      <c r="AI189">
        <f>IF(AH189=0,0,IF(AND(OR('Panel'!$G$5="",D189&gt;='Panel'!$G$5),OR('Panel'!$J$5="",D189&lt;='Panel'!$J$5)),1,0))</f>
        <v>0</v>
      </c>
      <c r="AJ189">
        <f>IF(AI189=1,R189,0)</f>
        <v>0</v>
      </c>
      <c r="AK189" t="str">
        <f>IF(AI189=1,'Panel'!$AB$4+SUM($AJ$5:AJ189),"")</f>
        <v/>
      </c>
      <c r="AL189">
        <f>IF(AI189=0,N(AL188),IF(R189&lt;0,N(AL188)+1,0))</f>
        <v>1</v>
      </c>
      <c r="AM189">
        <f>IF(AI189=0,N(AM188),IF(R189&gt;0,N(AM188)+1,0))</f>
        <v>0</v>
      </c>
      <c r="AN189">
        <f>IF(AI189=1,MAX('Panel'!$AB$4,N(AN188),AK189),N(AN188))</f>
        <v>21371.061500000033</v>
      </c>
      <c r="AO189">
        <f>IF(AI189=1,AN189-AK189,0)</f>
        <v>0</v>
      </c>
      <c r="AP189">
        <f>IF(AND(AI189=1,AN189&gt;0),AO189/AN189,0)</f>
        <v>0</v>
      </c>
      <c r="AQ189" t="str">
        <f>IF(AI189=1,SUM($AI$5:AI189),"")</f>
        <v/>
      </c>
      <c r="AR189" t="str">
        <f>IF(AI189=1,IF(COUNTIFS($D$5:D189,D189,$AI$5:AI189,1)=1,SUMIFS($AJ$5:$AJ$504,$D$5:$D$504,D189),""),"")</f>
        <v/>
      </c>
      <c r="AS189" t="str">
        <f>IF(AG189=1,WEEKDAY(D189,2),"")</f>
        <v/>
      </c>
      <c r="AT189" s="31" t="str">
        <f>IF(AG189=1,DATE(YEAR(D189),MONTH(D189),1),"")</f>
        <v/>
      </c>
      <c r="AU189">
        <f>IF(AG189=0,0,IF(AND(OR('Prop challenge'!$D$7="",F189='Prop challenge'!$D$7),OR('Prop challenge'!$D$9="",D189&gt;='Prop challenge'!$D$9)),1,0))</f>
        <v>0</v>
      </c>
      <c r="AV189">
        <f>IF(AU189=1,IF(COUNTIFS($D$5:D189,D189,$AU$5:AU189,1)=1,1,0),0)</f>
        <v>0</v>
      </c>
      <c r="AW189" t="str">
        <f>IF(AV189=1,SUM($AV$5:AV189),"")</f>
        <v/>
      </c>
      <c r="AX189" t="str">
        <f>IF(AV189=1,SUMIFS($R$5:$R$504,$D$5:$D$504,D189,$AU$5:$AU$504,1),"")</f>
        <v/>
      </c>
    </row>
    <row r="190">
      <c r="A190" s="20" t="str">
        <f>IF(AG190=1,ROW()-4,"")</f>
        <v/>
      </c>
      <c r="B190" s="21" t="n"/>
      <c r="C190" s="22" t="n"/>
      <c r="D190" s="21" t="n"/>
      <c r="E190" s="22" t="n"/>
      <c r="F190" s="23" t="n"/>
      <c r="G190" s="23" t="n"/>
      <c r="H190" s="23" t="n"/>
      <c r="I190" s="24" t="n"/>
      <c r="J190" s="25" t="n"/>
      <c r="K190" s="25" t="n"/>
      <c r="L190" s="25" t="n"/>
      <c r="M190" s="25" t="n"/>
      <c r="N190" s="26" t="n"/>
      <c r="O190" s="26" t="n"/>
      <c r="P190" s="27" t="str">
        <f>IF(OR(J190="",K190="",I190="",AF190=0,AD190=""),"",(K190-J190)*AF190*I190*AD190*AE190)</f>
        <v/>
      </c>
      <c r="Q190" s="26" t="n"/>
      <c r="R190" s="28" t="str">
        <f>IF(Q190&lt;&gt;"",Q190,IF(P190="","",P190-N(N190)+N(O190)))</f>
        <v/>
      </c>
      <c r="S190" s="27" t="str">
        <f>IF(OR(L190="",J190="",I190="",AD190=""),"",ABS(J190-L190)*I190*AD190*AE190)</f>
        <v/>
      </c>
      <c r="T190" s="29" t="str">
        <f>IF(OR(R190="",S190="",S190=0),"",R190/S190)</f>
        <v/>
      </c>
      <c r="U190" s="20" t="str">
        <f>IF(R190="","",IF(R190&gt;0,"Ganadora",IF(R190&lt;0,"Perdedora","BE")))</f>
        <v/>
      </c>
      <c r="V190" s="23" t="n"/>
      <c r="W190" s="23" t="n"/>
      <c r="X190" s="23" t="n"/>
      <c r="Y190" s="23" t="n"/>
      <c r="Z190" s="23" t="n"/>
      <c r="AA190" s="23" t="n"/>
      <c r="AB190" s="30" t="n"/>
      <c r="AC190" s="1" t="n"/>
      <c r="AD190" s="1" t="str">
        <f>IF(G190="","",IFERROR(INDEX('Listas'!$N$6:$N$35,MATCH(G190,'Listas'!$M$6:$M$35,0)),""))</f>
        <v/>
      </c>
      <c r="AE190">
        <f>IF(G190="",1,IFERROR(INDEX('Listas'!$P$6:$P$35,MATCH(G190,'Listas'!$M$6:$M$35,0)),1))</f>
        <v>1</v>
      </c>
      <c r="AF190">
        <f>IF(H190="Compra",1,IF(H190="Venta",-1,0))</f>
        <v>0</v>
      </c>
      <c r="AG190">
        <f>IF(AND(D190&lt;&gt;"",ISNUMBER(R190)),1,0)</f>
        <v>0</v>
      </c>
      <c r="AH190">
        <f>IF(AG190=0,0,IF(OR('Panel'!$D$5="Todas las cuentas",'Panel'!$D$5="",F190='Panel'!$D$5),1,0))</f>
        <v>0</v>
      </c>
      <c r="AI190">
        <f>IF(AH190=0,0,IF(AND(OR('Panel'!$G$5="",D190&gt;='Panel'!$G$5),OR('Panel'!$J$5="",D190&lt;='Panel'!$J$5)),1,0))</f>
        <v>0</v>
      </c>
      <c r="AJ190">
        <f>IF(AI190=1,R190,0)</f>
        <v>0</v>
      </c>
      <c r="AK190" t="str">
        <f>IF(AI190=1,'Panel'!$AB$4+SUM($AJ$5:AJ190),"")</f>
        <v/>
      </c>
      <c r="AL190">
        <f>IF(AI190=0,N(AL189),IF(R190&lt;0,N(AL189)+1,0))</f>
        <v>1</v>
      </c>
      <c r="AM190">
        <f>IF(AI190=0,N(AM189),IF(R190&gt;0,N(AM189)+1,0))</f>
        <v>0</v>
      </c>
      <c r="AN190">
        <f>IF(AI190=1,MAX('Panel'!$AB$4,N(AN189),AK190),N(AN189))</f>
        <v>21371.061500000033</v>
      </c>
      <c r="AO190">
        <f>IF(AI190=1,AN190-AK190,0)</f>
        <v>0</v>
      </c>
      <c r="AP190">
        <f>IF(AND(AI190=1,AN190&gt;0),AO190/AN190,0)</f>
        <v>0</v>
      </c>
      <c r="AQ190" t="str">
        <f>IF(AI190=1,SUM($AI$5:AI190),"")</f>
        <v/>
      </c>
      <c r="AR190" t="str">
        <f>IF(AI190=1,IF(COUNTIFS($D$5:D190,D190,$AI$5:AI190,1)=1,SUMIFS($AJ$5:$AJ$504,$D$5:$D$504,D190),""),"")</f>
        <v/>
      </c>
      <c r="AS190" t="str">
        <f>IF(AG190=1,WEEKDAY(D190,2),"")</f>
        <v/>
      </c>
      <c r="AT190" s="31" t="str">
        <f>IF(AG190=1,DATE(YEAR(D190),MONTH(D190),1),"")</f>
        <v/>
      </c>
      <c r="AU190">
        <f>IF(AG190=0,0,IF(AND(OR('Prop challenge'!$D$7="",F190='Prop challenge'!$D$7),OR('Prop challenge'!$D$9="",D190&gt;='Prop challenge'!$D$9)),1,0))</f>
        <v>0</v>
      </c>
      <c r="AV190">
        <f>IF(AU190=1,IF(COUNTIFS($D$5:D190,D190,$AU$5:AU190,1)=1,1,0),0)</f>
        <v>0</v>
      </c>
      <c r="AW190" t="str">
        <f>IF(AV190=1,SUM($AV$5:AV190),"")</f>
        <v/>
      </c>
      <c r="AX190" t="str">
        <f>IF(AV190=1,SUMIFS($R$5:$R$504,$D$5:$D$504,D190,$AU$5:$AU$504,1),"")</f>
        <v/>
      </c>
    </row>
    <row r="191">
      <c r="A191" s="20" t="str">
        <f>IF(AG191=1,ROW()-4,"")</f>
        <v/>
      </c>
      <c r="B191" s="21" t="n"/>
      <c r="C191" s="22" t="n"/>
      <c r="D191" s="21" t="n"/>
      <c r="E191" s="22" t="n"/>
      <c r="F191" s="23" t="n"/>
      <c r="G191" s="23" t="n"/>
      <c r="H191" s="23" t="n"/>
      <c r="I191" s="24" t="n"/>
      <c r="J191" s="25" t="n"/>
      <c r="K191" s="25" t="n"/>
      <c r="L191" s="25" t="n"/>
      <c r="M191" s="25" t="n"/>
      <c r="N191" s="26" t="n"/>
      <c r="O191" s="26" t="n"/>
      <c r="P191" s="27" t="str">
        <f>IF(OR(J191="",K191="",I191="",AF191=0,AD191=""),"",(K191-J191)*AF191*I191*AD191*AE191)</f>
        <v/>
      </c>
      <c r="Q191" s="26" t="n"/>
      <c r="R191" s="28" t="str">
        <f>IF(Q191&lt;&gt;"",Q191,IF(P191="","",P191-N(N191)+N(O191)))</f>
        <v/>
      </c>
      <c r="S191" s="27" t="str">
        <f>IF(OR(L191="",J191="",I191="",AD191=""),"",ABS(J191-L191)*I191*AD191*AE191)</f>
        <v/>
      </c>
      <c r="T191" s="29" t="str">
        <f>IF(OR(R191="",S191="",S191=0),"",R191/S191)</f>
        <v/>
      </c>
      <c r="U191" s="20" t="str">
        <f>IF(R191="","",IF(R191&gt;0,"Ganadora",IF(R191&lt;0,"Perdedora","BE")))</f>
        <v/>
      </c>
      <c r="V191" s="23" t="n"/>
      <c r="W191" s="23" t="n"/>
      <c r="X191" s="23" t="n"/>
      <c r="Y191" s="23" t="n"/>
      <c r="Z191" s="23" t="n"/>
      <c r="AA191" s="23" t="n"/>
      <c r="AB191" s="30" t="n"/>
      <c r="AC191" s="1" t="n"/>
      <c r="AD191" s="1" t="str">
        <f>IF(G191="","",IFERROR(INDEX('Listas'!$N$6:$N$35,MATCH(G191,'Listas'!$M$6:$M$35,0)),""))</f>
        <v/>
      </c>
      <c r="AE191">
        <f>IF(G191="",1,IFERROR(INDEX('Listas'!$P$6:$P$35,MATCH(G191,'Listas'!$M$6:$M$35,0)),1))</f>
        <v>1</v>
      </c>
      <c r="AF191">
        <f>IF(H191="Compra",1,IF(H191="Venta",-1,0))</f>
        <v>0</v>
      </c>
      <c r="AG191">
        <f>IF(AND(D191&lt;&gt;"",ISNUMBER(R191)),1,0)</f>
        <v>0</v>
      </c>
      <c r="AH191">
        <f>IF(AG191=0,0,IF(OR('Panel'!$D$5="Todas las cuentas",'Panel'!$D$5="",F191='Panel'!$D$5),1,0))</f>
        <v>0</v>
      </c>
      <c r="AI191">
        <f>IF(AH191=0,0,IF(AND(OR('Panel'!$G$5="",D191&gt;='Panel'!$G$5),OR('Panel'!$J$5="",D191&lt;='Panel'!$J$5)),1,0))</f>
        <v>0</v>
      </c>
      <c r="AJ191">
        <f>IF(AI191=1,R191,0)</f>
        <v>0</v>
      </c>
      <c r="AK191" t="str">
        <f>IF(AI191=1,'Panel'!$AB$4+SUM($AJ$5:AJ191),"")</f>
        <v/>
      </c>
      <c r="AL191">
        <f>IF(AI191=0,N(AL190),IF(R191&lt;0,N(AL190)+1,0))</f>
        <v>1</v>
      </c>
      <c r="AM191">
        <f>IF(AI191=0,N(AM190),IF(R191&gt;0,N(AM190)+1,0))</f>
        <v>0</v>
      </c>
      <c r="AN191">
        <f>IF(AI191=1,MAX('Panel'!$AB$4,N(AN190),AK191),N(AN190))</f>
        <v>21371.061500000033</v>
      </c>
      <c r="AO191">
        <f>IF(AI191=1,AN191-AK191,0)</f>
        <v>0</v>
      </c>
      <c r="AP191">
        <f>IF(AND(AI191=1,AN191&gt;0),AO191/AN191,0)</f>
        <v>0</v>
      </c>
      <c r="AQ191" t="str">
        <f>IF(AI191=1,SUM($AI$5:AI191),"")</f>
        <v/>
      </c>
      <c r="AR191" t="str">
        <f>IF(AI191=1,IF(COUNTIFS($D$5:D191,D191,$AI$5:AI191,1)=1,SUMIFS($AJ$5:$AJ$504,$D$5:$D$504,D191),""),"")</f>
        <v/>
      </c>
      <c r="AS191" t="str">
        <f>IF(AG191=1,WEEKDAY(D191,2),"")</f>
        <v/>
      </c>
      <c r="AT191" s="31" t="str">
        <f>IF(AG191=1,DATE(YEAR(D191),MONTH(D191),1),"")</f>
        <v/>
      </c>
      <c r="AU191">
        <f>IF(AG191=0,0,IF(AND(OR('Prop challenge'!$D$7="",F191='Prop challenge'!$D$7),OR('Prop challenge'!$D$9="",D191&gt;='Prop challenge'!$D$9)),1,0))</f>
        <v>0</v>
      </c>
      <c r="AV191">
        <f>IF(AU191=1,IF(COUNTIFS($D$5:D191,D191,$AU$5:AU191,1)=1,1,0),0)</f>
        <v>0</v>
      </c>
      <c r="AW191" t="str">
        <f>IF(AV191=1,SUM($AV$5:AV191),"")</f>
        <v/>
      </c>
      <c r="AX191" t="str">
        <f>IF(AV191=1,SUMIFS($R$5:$R$504,$D$5:$D$504,D191,$AU$5:$AU$504,1),"")</f>
        <v/>
      </c>
    </row>
    <row r="192">
      <c r="A192" s="20" t="str">
        <f>IF(AG192=1,ROW()-4,"")</f>
        <v/>
      </c>
      <c r="B192" s="21" t="n"/>
      <c r="C192" s="22" t="n"/>
      <c r="D192" s="21" t="n"/>
      <c r="E192" s="22" t="n"/>
      <c r="F192" s="23" t="n"/>
      <c r="G192" s="23" t="n"/>
      <c r="H192" s="23" t="n"/>
      <c r="I192" s="24" t="n"/>
      <c r="J192" s="25" t="n"/>
      <c r="K192" s="25" t="n"/>
      <c r="L192" s="25" t="n"/>
      <c r="M192" s="25" t="n"/>
      <c r="N192" s="26" t="n"/>
      <c r="O192" s="26" t="n"/>
      <c r="P192" s="27" t="str">
        <f>IF(OR(J192="",K192="",I192="",AF192=0,AD192=""),"",(K192-J192)*AF192*I192*AD192*AE192)</f>
        <v/>
      </c>
      <c r="Q192" s="26" t="n"/>
      <c r="R192" s="28" t="str">
        <f>IF(Q192&lt;&gt;"",Q192,IF(P192="","",P192-N(N192)+N(O192)))</f>
        <v/>
      </c>
      <c r="S192" s="27" t="str">
        <f>IF(OR(L192="",J192="",I192="",AD192=""),"",ABS(J192-L192)*I192*AD192*AE192)</f>
        <v/>
      </c>
      <c r="T192" s="29" t="str">
        <f>IF(OR(R192="",S192="",S192=0),"",R192/S192)</f>
        <v/>
      </c>
      <c r="U192" s="20" t="str">
        <f>IF(R192="","",IF(R192&gt;0,"Ganadora",IF(R192&lt;0,"Perdedora","BE")))</f>
        <v/>
      </c>
      <c r="V192" s="23" t="n"/>
      <c r="W192" s="23" t="n"/>
      <c r="X192" s="23" t="n"/>
      <c r="Y192" s="23" t="n"/>
      <c r="Z192" s="23" t="n"/>
      <c r="AA192" s="23" t="n"/>
      <c r="AB192" s="30" t="n"/>
      <c r="AC192" s="1" t="n"/>
      <c r="AD192" s="1" t="str">
        <f>IF(G192="","",IFERROR(INDEX('Listas'!$N$6:$N$35,MATCH(G192,'Listas'!$M$6:$M$35,0)),""))</f>
        <v/>
      </c>
      <c r="AE192">
        <f>IF(G192="",1,IFERROR(INDEX('Listas'!$P$6:$P$35,MATCH(G192,'Listas'!$M$6:$M$35,0)),1))</f>
        <v>1</v>
      </c>
      <c r="AF192">
        <f>IF(H192="Compra",1,IF(H192="Venta",-1,0))</f>
        <v>0</v>
      </c>
      <c r="AG192">
        <f>IF(AND(D192&lt;&gt;"",ISNUMBER(R192)),1,0)</f>
        <v>0</v>
      </c>
      <c r="AH192">
        <f>IF(AG192=0,0,IF(OR('Panel'!$D$5="Todas las cuentas",'Panel'!$D$5="",F192='Panel'!$D$5),1,0))</f>
        <v>0</v>
      </c>
      <c r="AI192">
        <f>IF(AH192=0,0,IF(AND(OR('Panel'!$G$5="",D192&gt;='Panel'!$G$5),OR('Panel'!$J$5="",D192&lt;='Panel'!$J$5)),1,0))</f>
        <v>0</v>
      </c>
      <c r="AJ192">
        <f>IF(AI192=1,R192,0)</f>
        <v>0</v>
      </c>
      <c r="AK192" t="str">
        <f>IF(AI192=1,'Panel'!$AB$4+SUM($AJ$5:AJ192),"")</f>
        <v/>
      </c>
      <c r="AL192">
        <f>IF(AI192=0,N(AL191),IF(R192&lt;0,N(AL191)+1,0))</f>
        <v>1</v>
      </c>
      <c r="AM192">
        <f>IF(AI192=0,N(AM191),IF(R192&gt;0,N(AM191)+1,0))</f>
        <v>0</v>
      </c>
      <c r="AN192">
        <f>IF(AI192=1,MAX('Panel'!$AB$4,N(AN191),AK192),N(AN191))</f>
        <v>21371.061500000033</v>
      </c>
      <c r="AO192">
        <f>IF(AI192=1,AN192-AK192,0)</f>
        <v>0</v>
      </c>
      <c r="AP192">
        <f>IF(AND(AI192=1,AN192&gt;0),AO192/AN192,0)</f>
        <v>0</v>
      </c>
      <c r="AQ192" t="str">
        <f>IF(AI192=1,SUM($AI$5:AI192),"")</f>
        <v/>
      </c>
      <c r="AR192" t="str">
        <f>IF(AI192=1,IF(COUNTIFS($D$5:D192,D192,$AI$5:AI192,1)=1,SUMIFS($AJ$5:$AJ$504,$D$5:$D$504,D192),""),"")</f>
        <v/>
      </c>
      <c r="AS192" t="str">
        <f>IF(AG192=1,WEEKDAY(D192,2),"")</f>
        <v/>
      </c>
      <c r="AT192" s="31" t="str">
        <f>IF(AG192=1,DATE(YEAR(D192),MONTH(D192),1),"")</f>
        <v/>
      </c>
      <c r="AU192">
        <f>IF(AG192=0,0,IF(AND(OR('Prop challenge'!$D$7="",F192='Prop challenge'!$D$7),OR('Prop challenge'!$D$9="",D192&gt;='Prop challenge'!$D$9)),1,0))</f>
        <v>0</v>
      </c>
      <c r="AV192">
        <f>IF(AU192=1,IF(COUNTIFS($D$5:D192,D192,$AU$5:AU192,1)=1,1,0),0)</f>
        <v>0</v>
      </c>
      <c r="AW192" t="str">
        <f>IF(AV192=1,SUM($AV$5:AV192),"")</f>
        <v/>
      </c>
      <c r="AX192" t="str">
        <f>IF(AV192=1,SUMIFS($R$5:$R$504,$D$5:$D$504,D192,$AU$5:$AU$504,1),"")</f>
        <v/>
      </c>
    </row>
    <row r="193">
      <c r="A193" s="20" t="str">
        <f>IF(AG193=1,ROW()-4,"")</f>
        <v/>
      </c>
      <c r="B193" s="21" t="n"/>
      <c r="C193" s="22" t="n"/>
      <c r="D193" s="21" t="n"/>
      <c r="E193" s="22" t="n"/>
      <c r="F193" s="23" t="n"/>
      <c r="G193" s="23" t="n"/>
      <c r="H193" s="23" t="n"/>
      <c r="I193" s="24" t="n"/>
      <c r="J193" s="25" t="n"/>
      <c r="K193" s="25" t="n"/>
      <c r="L193" s="25" t="n"/>
      <c r="M193" s="25" t="n"/>
      <c r="N193" s="26" t="n"/>
      <c r="O193" s="26" t="n"/>
      <c r="P193" s="27" t="str">
        <f>IF(OR(J193="",K193="",I193="",AF193=0,AD193=""),"",(K193-J193)*AF193*I193*AD193*AE193)</f>
        <v/>
      </c>
      <c r="Q193" s="26" t="n"/>
      <c r="R193" s="28" t="str">
        <f>IF(Q193&lt;&gt;"",Q193,IF(P193="","",P193-N(N193)+N(O193)))</f>
        <v/>
      </c>
      <c r="S193" s="27" t="str">
        <f>IF(OR(L193="",J193="",I193="",AD193=""),"",ABS(J193-L193)*I193*AD193*AE193)</f>
        <v/>
      </c>
      <c r="T193" s="29" t="str">
        <f>IF(OR(R193="",S193="",S193=0),"",R193/S193)</f>
        <v/>
      </c>
      <c r="U193" s="20" t="str">
        <f>IF(R193="","",IF(R193&gt;0,"Ganadora",IF(R193&lt;0,"Perdedora","BE")))</f>
        <v/>
      </c>
      <c r="V193" s="23" t="n"/>
      <c r="W193" s="23" t="n"/>
      <c r="X193" s="23" t="n"/>
      <c r="Y193" s="23" t="n"/>
      <c r="Z193" s="23" t="n"/>
      <c r="AA193" s="23" t="n"/>
      <c r="AB193" s="30" t="n"/>
      <c r="AC193" s="1" t="n"/>
      <c r="AD193" s="1" t="str">
        <f>IF(G193="","",IFERROR(INDEX('Listas'!$N$6:$N$35,MATCH(G193,'Listas'!$M$6:$M$35,0)),""))</f>
        <v/>
      </c>
      <c r="AE193">
        <f>IF(G193="",1,IFERROR(INDEX('Listas'!$P$6:$P$35,MATCH(G193,'Listas'!$M$6:$M$35,0)),1))</f>
        <v>1</v>
      </c>
      <c r="AF193">
        <f>IF(H193="Compra",1,IF(H193="Venta",-1,0))</f>
        <v>0</v>
      </c>
      <c r="AG193">
        <f>IF(AND(D193&lt;&gt;"",ISNUMBER(R193)),1,0)</f>
        <v>0</v>
      </c>
      <c r="AH193">
        <f>IF(AG193=0,0,IF(OR('Panel'!$D$5="Todas las cuentas",'Panel'!$D$5="",F193='Panel'!$D$5),1,0))</f>
        <v>0</v>
      </c>
      <c r="AI193">
        <f>IF(AH193=0,0,IF(AND(OR('Panel'!$G$5="",D193&gt;='Panel'!$G$5),OR('Panel'!$J$5="",D193&lt;='Panel'!$J$5)),1,0))</f>
        <v>0</v>
      </c>
      <c r="AJ193">
        <f>IF(AI193=1,R193,0)</f>
        <v>0</v>
      </c>
      <c r="AK193" t="str">
        <f>IF(AI193=1,'Panel'!$AB$4+SUM($AJ$5:AJ193),"")</f>
        <v/>
      </c>
      <c r="AL193">
        <f>IF(AI193=0,N(AL192),IF(R193&lt;0,N(AL192)+1,0))</f>
        <v>1</v>
      </c>
      <c r="AM193">
        <f>IF(AI193=0,N(AM192),IF(R193&gt;0,N(AM192)+1,0))</f>
        <v>0</v>
      </c>
      <c r="AN193">
        <f>IF(AI193=1,MAX('Panel'!$AB$4,N(AN192),AK193),N(AN192))</f>
        <v>21371.061500000033</v>
      </c>
      <c r="AO193">
        <f>IF(AI193=1,AN193-AK193,0)</f>
        <v>0</v>
      </c>
      <c r="AP193">
        <f>IF(AND(AI193=1,AN193&gt;0),AO193/AN193,0)</f>
        <v>0</v>
      </c>
      <c r="AQ193" t="str">
        <f>IF(AI193=1,SUM($AI$5:AI193),"")</f>
        <v/>
      </c>
      <c r="AR193" t="str">
        <f>IF(AI193=1,IF(COUNTIFS($D$5:D193,D193,$AI$5:AI193,1)=1,SUMIFS($AJ$5:$AJ$504,$D$5:$D$504,D193),""),"")</f>
        <v/>
      </c>
      <c r="AS193" t="str">
        <f>IF(AG193=1,WEEKDAY(D193,2),"")</f>
        <v/>
      </c>
      <c r="AT193" s="31" t="str">
        <f>IF(AG193=1,DATE(YEAR(D193),MONTH(D193),1),"")</f>
        <v/>
      </c>
      <c r="AU193">
        <f>IF(AG193=0,0,IF(AND(OR('Prop challenge'!$D$7="",F193='Prop challenge'!$D$7),OR('Prop challenge'!$D$9="",D193&gt;='Prop challenge'!$D$9)),1,0))</f>
        <v>0</v>
      </c>
      <c r="AV193">
        <f>IF(AU193=1,IF(COUNTIFS($D$5:D193,D193,$AU$5:AU193,1)=1,1,0),0)</f>
        <v>0</v>
      </c>
      <c r="AW193" t="str">
        <f>IF(AV193=1,SUM($AV$5:AV193),"")</f>
        <v/>
      </c>
      <c r="AX193" t="str">
        <f>IF(AV193=1,SUMIFS($R$5:$R$504,$D$5:$D$504,D193,$AU$5:$AU$504,1),"")</f>
        <v/>
      </c>
    </row>
    <row r="194">
      <c r="A194" s="20" t="str">
        <f>IF(AG194=1,ROW()-4,"")</f>
        <v/>
      </c>
      <c r="B194" s="21" t="n"/>
      <c r="C194" s="22" t="n"/>
      <c r="D194" s="21" t="n"/>
      <c r="E194" s="22" t="n"/>
      <c r="F194" s="23" t="n"/>
      <c r="G194" s="23" t="n"/>
      <c r="H194" s="23" t="n"/>
      <c r="I194" s="24" t="n"/>
      <c r="J194" s="25" t="n"/>
      <c r="K194" s="25" t="n"/>
      <c r="L194" s="25" t="n"/>
      <c r="M194" s="25" t="n"/>
      <c r="N194" s="26" t="n"/>
      <c r="O194" s="26" t="n"/>
      <c r="P194" s="27" t="str">
        <f>IF(OR(J194="",K194="",I194="",AF194=0,AD194=""),"",(K194-J194)*AF194*I194*AD194*AE194)</f>
        <v/>
      </c>
      <c r="Q194" s="26" t="n"/>
      <c r="R194" s="28" t="str">
        <f>IF(Q194&lt;&gt;"",Q194,IF(P194="","",P194-N(N194)+N(O194)))</f>
        <v/>
      </c>
      <c r="S194" s="27" t="str">
        <f>IF(OR(L194="",J194="",I194="",AD194=""),"",ABS(J194-L194)*I194*AD194*AE194)</f>
        <v/>
      </c>
      <c r="T194" s="29" t="str">
        <f>IF(OR(R194="",S194="",S194=0),"",R194/S194)</f>
        <v/>
      </c>
      <c r="U194" s="20" t="str">
        <f>IF(R194="","",IF(R194&gt;0,"Ganadora",IF(R194&lt;0,"Perdedora","BE")))</f>
        <v/>
      </c>
      <c r="V194" s="23" t="n"/>
      <c r="W194" s="23" t="n"/>
      <c r="X194" s="23" t="n"/>
      <c r="Y194" s="23" t="n"/>
      <c r="Z194" s="23" t="n"/>
      <c r="AA194" s="23" t="n"/>
      <c r="AB194" s="30" t="n"/>
      <c r="AC194" s="1" t="n"/>
      <c r="AD194" s="1" t="str">
        <f>IF(G194="","",IFERROR(INDEX('Listas'!$N$6:$N$35,MATCH(G194,'Listas'!$M$6:$M$35,0)),""))</f>
        <v/>
      </c>
      <c r="AE194">
        <f>IF(G194="",1,IFERROR(INDEX('Listas'!$P$6:$P$35,MATCH(G194,'Listas'!$M$6:$M$35,0)),1))</f>
        <v>1</v>
      </c>
      <c r="AF194">
        <f>IF(H194="Compra",1,IF(H194="Venta",-1,0))</f>
        <v>0</v>
      </c>
      <c r="AG194">
        <f>IF(AND(D194&lt;&gt;"",ISNUMBER(R194)),1,0)</f>
        <v>0</v>
      </c>
      <c r="AH194">
        <f>IF(AG194=0,0,IF(OR('Panel'!$D$5="Todas las cuentas",'Panel'!$D$5="",F194='Panel'!$D$5),1,0))</f>
        <v>0</v>
      </c>
      <c r="AI194">
        <f>IF(AH194=0,0,IF(AND(OR('Panel'!$G$5="",D194&gt;='Panel'!$G$5),OR('Panel'!$J$5="",D194&lt;='Panel'!$J$5)),1,0))</f>
        <v>0</v>
      </c>
      <c r="AJ194">
        <f>IF(AI194=1,R194,0)</f>
        <v>0</v>
      </c>
      <c r="AK194" t="str">
        <f>IF(AI194=1,'Panel'!$AB$4+SUM($AJ$5:AJ194),"")</f>
        <v/>
      </c>
      <c r="AL194">
        <f>IF(AI194=0,N(AL193),IF(R194&lt;0,N(AL193)+1,0))</f>
        <v>1</v>
      </c>
      <c r="AM194">
        <f>IF(AI194=0,N(AM193),IF(R194&gt;0,N(AM193)+1,0))</f>
        <v>0</v>
      </c>
      <c r="AN194">
        <f>IF(AI194=1,MAX('Panel'!$AB$4,N(AN193),AK194),N(AN193))</f>
        <v>21371.061500000033</v>
      </c>
      <c r="AO194">
        <f>IF(AI194=1,AN194-AK194,0)</f>
        <v>0</v>
      </c>
      <c r="AP194">
        <f>IF(AND(AI194=1,AN194&gt;0),AO194/AN194,0)</f>
        <v>0</v>
      </c>
      <c r="AQ194" t="str">
        <f>IF(AI194=1,SUM($AI$5:AI194),"")</f>
        <v/>
      </c>
      <c r="AR194" t="str">
        <f>IF(AI194=1,IF(COUNTIFS($D$5:D194,D194,$AI$5:AI194,1)=1,SUMIFS($AJ$5:$AJ$504,$D$5:$D$504,D194),""),"")</f>
        <v/>
      </c>
      <c r="AS194" t="str">
        <f>IF(AG194=1,WEEKDAY(D194,2),"")</f>
        <v/>
      </c>
      <c r="AT194" s="31" t="str">
        <f>IF(AG194=1,DATE(YEAR(D194),MONTH(D194),1),"")</f>
        <v/>
      </c>
      <c r="AU194">
        <f>IF(AG194=0,0,IF(AND(OR('Prop challenge'!$D$7="",F194='Prop challenge'!$D$7),OR('Prop challenge'!$D$9="",D194&gt;='Prop challenge'!$D$9)),1,0))</f>
        <v>0</v>
      </c>
      <c r="AV194">
        <f>IF(AU194=1,IF(COUNTIFS($D$5:D194,D194,$AU$5:AU194,1)=1,1,0),0)</f>
        <v>0</v>
      </c>
      <c r="AW194" t="str">
        <f>IF(AV194=1,SUM($AV$5:AV194),"")</f>
        <v/>
      </c>
      <c r="AX194" t="str">
        <f>IF(AV194=1,SUMIFS($R$5:$R$504,$D$5:$D$504,D194,$AU$5:$AU$504,1),"")</f>
        <v/>
      </c>
    </row>
    <row r="195">
      <c r="A195" s="20" t="str">
        <f>IF(AG195=1,ROW()-4,"")</f>
        <v/>
      </c>
      <c r="B195" s="21" t="n"/>
      <c r="C195" s="22" t="n"/>
      <c r="D195" s="21" t="n"/>
      <c r="E195" s="22" t="n"/>
      <c r="F195" s="23" t="n"/>
      <c r="G195" s="23" t="n"/>
      <c r="H195" s="23" t="n"/>
      <c r="I195" s="24" t="n"/>
      <c r="J195" s="25" t="n"/>
      <c r="K195" s="25" t="n"/>
      <c r="L195" s="25" t="n"/>
      <c r="M195" s="25" t="n"/>
      <c r="N195" s="26" t="n"/>
      <c r="O195" s="26" t="n"/>
      <c r="P195" s="27" t="str">
        <f>IF(OR(J195="",K195="",I195="",AF195=0,AD195=""),"",(K195-J195)*AF195*I195*AD195*AE195)</f>
        <v/>
      </c>
      <c r="Q195" s="26" t="n"/>
      <c r="R195" s="28" t="str">
        <f>IF(Q195&lt;&gt;"",Q195,IF(P195="","",P195-N(N195)+N(O195)))</f>
        <v/>
      </c>
      <c r="S195" s="27" t="str">
        <f>IF(OR(L195="",J195="",I195="",AD195=""),"",ABS(J195-L195)*I195*AD195*AE195)</f>
        <v/>
      </c>
      <c r="T195" s="29" t="str">
        <f>IF(OR(R195="",S195="",S195=0),"",R195/S195)</f>
        <v/>
      </c>
      <c r="U195" s="20" t="str">
        <f>IF(R195="","",IF(R195&gt;0,"Ganadora",IF(R195&lt;0,"Perdedora","BE")))</f>
        <v/>
      </c>
      <c r="V195" s="23" t="n"/>
      <c r="W195" s="23" t="n"/>
      <c r="X195" s="23" t="n"/>
      <c r="Y195" s="23" t="n"/>
      <c r="Z195" s="23" t="n"/>
      <c r="AA195" s="23" t="n"/>
      <c r="AB195" s="30" t="n"/>
      <c r="AC195" s="1" t="n"/>
      <c r="AD195" s="1" t="str">
        <f>IF(G195="","",IFERROR(INDEX('Listas'!$N$6:$N$35,MATCH(G195,'Listas'!$M$6:$M$35,0)),""))</f>
        <v/>
      </c>
      <c r="AE195">
        <f>IF(G195="",1,IFERROR(INDEX('Listas'!$P$6:$P$35,MATCH(G195,'Listas'!$M$6:$M$35,0)),1))</f>
        <v>1</v>
      </c>
      <c r="AF195">
        <f>IF(H195="Compra",1,IF(H195="Venta",-1,0))</f>
        <v>0</v>
      </c>
      <c r="AG195">
        <f>IF(AND(D195&lt;&gt;"",ISNUMBER(R195)),1,0)</f>
        <v>0</v>
      </c>
      <c r="AH195">
        <f>IF(AG195=0,0,IF(OR('Panel'!$D$5="Todas las cuentas",'Panel'!$D$5="",F195='Panel'!$D$5),1,0))</f>
        <v>0</v>
      </c>
      <c r="AI195">
        <f>IF(AH195=0,0,IF(AND(OR('Panel'!$G$5="",D195&gt;='Panel'!$G$5),OR('Panel'!$J$5="",D195&lt;='Panel'!$J$5)),1,0))</f>
        <v>0</v>
      </c>
      <c r="AJ195">
        <f>IF(AI195=1,R195,0)</f>
        <v>0</v>
      </c>
      <c r="AK195" t="str">
        <f>IF(AI195=1,'Panel'!$AB$4+SUM($AJ$5:AJ195),"")</f>
        <v/>
      </c>
      <c r="AL195">
        <f>IF(AI195=0,N(AL194),IF(R195&lt;0,N(AL194)+1,0))</f>
        <v>1</v>
      </c>
      <c r="AM195">
        <f>IF(AI195=0,N(AM194),IF(R195&gt;0,N(AM194)+1,0))</f>
        <v>0</v>
      </c>
      <c r="AN195">
        <f>IF(AI195=1,MAX('Panel'!$AB$4,N(AN194),AK195),N(AN194))</f>
        <v>21371.061500000033</v>
      </c>
      <c r="AO195">
        <f>IF(AI195=1,AN195-AK195,0)</f>
        <v>0</v>
      </c>
      <c r="AP195">
        <f>IF(AND(AI195=1,AN195&gt;0),AO195/AN195,0)</f>
        <v>0</v>
      </c>
      <c r="AQ195" t="str">
        <f>IF(AI195=1,SUM($AI$5:AI195),"")</f>
        <v/>
      </c>
      <c r="AR195" t="str">
        <f>IF(AI195=1,IF(COUNTIFS($D$5:D195,D195,$AI$5:AI195,1)=1,SUMIFS($AJ$5:$AJ$504,$D$5:$D$504,D195),""),"")</f>
        <v/>
      </c>
      <c r="AS195" t="str">
        <f>IF(AG195=1,WEEKDAY(D195,2),"")</f>
        <v/>
      </c>
      <c r="AT195" s="31" t="str">
        <f>IF(AG195=1,DATE(YEAR(D195),MONTH(D195),1),"")</f>
        <v/>
      </c>
      <c r="AU195">
        <f>IF(AG195=0,0,IF(AND(OR('Prop challenge'!$D$7="",F195='Prop challenge'!$D$7),OR('Prop challenge'!$D$9="",D195&gt;='Prop challenge'!$D$9)),1,0))</f>
        <v>0</v>
      </c>
      <c r="AV195">
        <f>IF(AU195=1,IF(COUNTIFS($D$5:D195,D195,$AU$5:AU195,1)=1,1,0),0)</f>
        <v>0</v>
      </c>
      <c r="AW195" t="str">
        <f>IF(AV195=1,SUM($AV$5:AV195),"")</f>
        <v/>
      </c>
      <c r="AX195" t="str">
        <f>IF(AV195=1,SUMIFS($R$5:$R$504,$D$5:$D$504,D195,$AU$5:$AU$504,1),"")</f>
        <v/>
      </c>
    </row>
    <row r="196">
      <c r="A196" s="20" t="str">
        <f>IF(AG196=1,ROW()-4,"")</f>
        <v/>
      </c>
      <c r="B196" s="21" t="n"/>
      <c r="C196" s="22" t="n"/>
      <c r="D196" s="21" t="n"/>
      <c r="E196" s="22" t="n"/>
      <c r="F196" s="23" t="n"/>
      <c r="G196" s="23" t="n"/>
      <c r="H196" s="23" t="n"/>
      <c r="I196" s="24" t="n"/>
      <c r="J196" s="25" t="n"/>
      <c r="K196" s="25" t="n"/>
      <c r="L196" s="25" t="n"/>
      <c r="M196" s="25" t="n"/>
      <c r="N196" s="26" t="n"/>
      <c r="O196" s="26" t="n"/>
      <c r="P196" s="27" t="str">
        <f>IF(OR(J196="",K196="",I196="",AF196=0,AD196=""),"",(K196-J196)*AF196*I196*AD196*AE196)</f>
        <v/>
      </c>
      <c r="Q196" s="26" t="n"/>
      <c r="R196" s="28" t="str">
        <f>IF(Q196&lt;&gt;"",Q196,IF(P196="","",P196-N(N196)+N(O196)))</f>
        <v/>
      </c>
      <c r="S196" s="27" t="str">
        <f>IF(OR(L196="",J196="",I196="",AD196=""),"",ABS(J196-L196)*I196*AD196*AE196)</f>
        <v/>
      </c>
      <c r="T196" s="29" t="str">
        <f>IF(OR(R196="",S196="",S196=0),"",R196/S196)</f>
        <v/>
      </c>
      <c r="U196" s="20" t="str">
        <f>IF(R196="","",IF(R196&gt;0,"Ganadora",IF(R196&lt;0,"Perdedora","BE")))</f>
        <v/>
      </c>
      <c r="V196" s="23" t="n"/>
      <c r="W196" s="23" t="n"/>
      <c r="X196" s="23" t="n"/>
      <c r="Y196" s="23" t="n"/>
      <c r="Z196" s="23" t="n"/>
      <c r="AA196" s="23" t="n"/>
      <c r="AB196" s="30" t="n"/>
      <c r="AC196" s="1" t="n"/>
      <c r="AD196" s="1" t="str">
        <f>IF(G196="","",IFERROR(INDEX('Listas'!$N$6:$N$35,MATCH(G196,'Listas'!$M$6:$M$35,0)),""))</f>
        <v/>
      </c>
      <c r="AE196">
        <f>IF(G196="",1,IFERROR(INDEX('Listas'!$P$6:$P$35,MATCH(G196,'Listas'!$M$6:$M$35,0)),1))</f>
        <v>1</v>
      </c>
      <c r="AF196">
        <f>IF(H196="Compra",1,IF(H196="Venta",-1,0))</f>
        <v>0</v>
      </c>
      <c r="AG196">
        <f>IF(AND(D196&lt;&gt;"",ISNUMBER(R196)),1,0)</f>
        <v>0</v>
      </c>
      <c r="AH196">
        <f>IF(AG196=0,0,IF(OR('Panel'!$D$5="Todas las cuentas",'Panel'!$D$5="",F196='Panel'!$D$5),1,0))</f>
        <v>0</v>
      </c>
      <c r="AI196">
        <f>IF(AH196=0,0,IF(AND(OR('Panel'!$G$5="",D196&gt;='Panel'!$G$5),OR('Panel'!$J$5="",D196&lt;='Panel'!$J$5)),1,0))</f>
        <v>0</v>
      </c>
      <c r="AJ196">
        <f>IF(AI196=1,R196,0)</f>
        <v>0</v>
      </c>
      <c r="AK196" t="str">
        <f>IF(AI196=1,'Panel'!$AB$4+SUM($AJ$5:AJ196),"")</f>
        <v/>
      </c>
      <c r="AL196">
        <f>IF(AI196=0,N(AL195),IF(R196&lt;0,N(AL195)+1,0))</f>
        <v>1</v>
      </c>
      <c r="AM196">
        <f>IF(AI196=0,N(AM195),IF(R196&gt;0,N(AM195)+1,0))</f>
        <v>0</v>
      </c>
      <c r="AN196">
        <f>IF(AI196=1,MAX('Panel'!$AB$4,N(AN195),AK196),N(AN195))</f>
        <v>21371.061500000033</v>
      </c>
      <c r="AO196">
        <f>IF(AI196=1,AN196-AK196,0)</f>
        <v>0</v>
      </c>
      <c r="AP196">
        <f>IF(AND(AI196=1,AN196&gt;0),AO196/AN196,0)</f>
        <v>0</v>
      </c>
      <c r="AQ196" t="str">
        <f>IF(AI196=1,SUM($AI$5:AI196),"")</f>
        <v/>
      </c>
      <c r="AR196" t="str">
        <f>IF(AI196=1,IF(COUNTIFS($D$5:D196,D196,$AI$5:AI196,1)=1,SUMIFS($AJ$5:$AJ$504,$D$5:$D$504,D196),""),"")</f>
        <v/>
      </c>
      <c r="AS196" t="str">
        <f>IF(AG196=1,WEEKDAY(D196,2),"")</f>
        <v/>
      </c>
      <c r="AT196" s="31" t="str">
        <f>IF(AG196=1,DATE(YEAR(D196),MONTH(D196),1),"")</f>
        <v/>
      </c>
      <c r="AU196">
        <f>IF(AG196=0,0,IF(AND(OR('Prop challenge'!$D$7="",F196='Prop challenge'!$D$7),OR('Prop challenge'!$D$9="",D196&gt;='Prop challenge'!$D$9)),1,0))</f>
        <v>0</v>
      </c>
      <c r="AV196">
        <f>IF(AU196=1,IF(COUNTIFS($D$5:D196,D196,$AU$5:AU196,1)=1,1,0),0)</f>
        <v>0</v>
      </c>
      <c r="AW196" t="str">
        <f>IF(AV196=1,SUM($AV$5:AV196),"")</f>
        <v/>
      </c>
      <c r="AX196" t="str">
        <f>IF(AV196=1,SUMIFS($R$5:$R$504,$D$5:$D$504,D196,$AU$5:$AU$504,1),"")</f>
        <v/>
      </c>
    </row>
    <row r="197">
      <c r="A197" s="20" t="str">
        <f>IF(AG197=1,ROW()-4,"")</f>
        <v/>
      </c>
      <c r="B197" s="21" t="n"/>
      <c r="C197" s="22" t="n"/>
      <c r="D197" s="21" t="n"/>
      <c r="E197" s="22" t="n"/>
      <c r="F197" s="23" t="n"/>
      <c r="G197" s="23" t="n"/>
      <c r="H197" s="23" t="n"/>
      <c r="I197" s="24" t="n"/>
      <c r="J197" s="25" t="n"/>
      <c r="K197" s="25" t="n"/>
      <c r="L197" s="25" t="n"/>
      <c r="M197" s="25" t="n"/>
      <c r="N197" s="26" t="n"/>
      <c r="O197" s="26" t="n"/>
      <c r="P197" s="27" t="str">
        <f>IF(OR(J197="",K197="",I197="",AF197=0,AD197=""),"",(K197-J197)*AF197*I197*AD197*AE197)</f>
        <v/>
      </c>
      <c r="Q197" s="26" t="n"/>
      <c r="R197" s="28" t="str">
        <f>IF(Q197&lt;&gt;"",Q197,IF(P197="","",P197-N(N197)+N(O197)))</f>
        <v/>
      </c>
      <c r="S197" s="27" t="str">
        <f>IF(OR(L197="",J197="",I197="",AD197=""),"",ABS(J197-L197)*I197*AD197*AE197)</f>
        <v/>
      </c>
      <c r="T197" s="29" t="str">
        <f>IF(OR(R197="",S197="",S197=0),"",R197/S197)</f>
        <v/>
      </c>
      <c r="U197" s="20" t="str">
        <f>IF(R197="","",IF(R197&gt;0,"Ganadora",IF(R197&lt;0,"Perdedora","BE")))</f>
        <v/>
      </c>
      <c r="V197" s="23" t="n"/>
      <c r="W197" s="23" t="n"/>
      <c r="X197" s="23" t="n"/>
      <c r="Y197" s="23" t="n"/>
      <c r="Z197" s="23" t="n"/>
      <c r="AA197" s="23" t="n"/>
      <c r="AB197" s="30" t="n"/>
      <c r="AC197" s="1" t="n"/>
      <c r="AD197" s="1" t="str">
        <f>IF(G197="","",IFERROR(INDEX('Listas'!$N$6:$N$35,MATCH(G197,'Listas'!$M$6:$M$35,0)),""))</f>
        <v/>
      </c>
      <c r="AE197">
        <f>IF(G197="",1,IFERROR(INDEX('Listas'!$P$6:$P$35,MATCH(G197,'Listas'!$M$6:$M$35,0)),1))</f>
        <v>1</v>
      </c>
      <c r="AF197">
        <f>IF(H197="Compra",1,IF(H197="Venta",-1,0))</f>
        <v>0</v>
      </c>
      <c r="AG197">
        <f>IF(AND(D197&lt;&gt;"",ISNUMBER(R197)),1,0)</f>
        <v>0</v>
      </c>
      <c r="AH197">
        <f>IF(AG197=0,0,IF(OR('Panel'!$D$5="Todas las cuentas",'Panel'!$D$5="",F197='Panel'!$D$5),1,0))</f>
        <v>0</v>
      </c>
      <c r="AI197">
        <f>IF(AH197=0,0,IF(AND(OR('Panel'!$G$5="",D197&gt;='Panel'!$G$5),OR('Panel'!$J$5="",D197&lt;='Panel'!$J$5)),1,0))</f>
        <v>0</v>
      </c>
      <c r="AJ197">
        <f>IF(AI197=1,R197,0)</f>
        <v>0</v>
      </c>
      <c r="AK197" t="str">
        <f>IF(AI197=1,'Panel'!$AB$4+SUM($AJ$5:AJ197),"")</f>
        <v/>
      </c>
      <c r="AL197">
        <f>IF(AI197=0,N(AL196),IF(R197&lt;0,N(AL196)+1,0))</f>
        <v>1</v>
      </c>
      <c r="AM197">
        <f>IF(AI197=0,N(AM196),IF(R197&gt;0,N(AM196)+1,0))</f>
        <v>0</v>
      </c>
      <c r="AN197">
        <f>IF(AI197=1,MAX('Panel'!$AB$4,N(AN196),AK197),N(AN196))</f>
        <v>21371.061500000033</v>
      </c>
      <c r="AO197">
        <f>IF(AI197=1,AN197-AK197,0)</f>
        <v>0</v>
      </c>
      <c r="AP197">
        <f>IF(AND(AI197=1,AN197&gt;0),AO197/AN197,0)</f>
        <v>0</v>
      </c>
      <c r="AQ197" t="str">
        <f>IF(AI197=1,SUM($AI$5:AI197),"")</f>
        <v/>
      </c>
      <c r="AR197" t="str">
        <f>IF(AI197=1,IF(COUNTIFS($D$5:D197,D197,$AI$5:AI197,1)=1,SUMIFS($AJ$5:$AJ$504,$D$5:$D$504,D197),""),"")</f>
        <v/>
      </c>
      <c r="AS197" t="str">
        <f>IF(AG197=1,WEEKDAY(D197,2),"")</f>
        <v/>
      </c>
      <c r="AT197" s="31" t="str">
        <f>IF(AG197=1,DATE(YEAR(D197),MONTH(D197),1),"")</f>
        <v/>
      </c>
      <c r="AU197">
        <f>IF(AG197=0,0,IF(AND(OR('Prop challenge'!$D$7="",F197='Prop challenge'!$D$7),OR('Prop challenge'!$D$9="",D197&gt;='Prop challenge'!$D$9)),1,0))</f>
        <v>0</v>
      </c>
      <c r="AV197">
        <f>IF(AU197=1,IF(COUNTIFS($D$5:D197,D197,$AU$5:AU197,1)=1,1,0),0)</f>
        <v>0</v>
      </c>
      <c r="AW197" t="str">
        <f>IF(AV197=1,SUM($AV$5:AV197),"")</f>
        <v/>
      </c>
      <c r="AX197" t="str">
        <f>IF(AV197=1,SUMIFS($R$5:$R$504,$D$5:$D$504,D197,$AU$5:$AU$504,1),"")</f>
        <v/>
      </c>
    </row>
    <row r="198">
      <c r="A198" s="20" t="str">
        <f>IF(AG198=1,ROW()-4,"")</f>
        <v/>
      </c>
      <c r="B198" s="21" t="n"/>
      <c r="C198" s="22" t="n"/>
      <c r="D198" s="21" t="n"/>
      <c r="E198" s="22" t="n"/>
      <c r="F198" s="23" t="n"/>
      <c r="G198" s="23" t="n"/>
      <c r="H198" s="23" t="n"/>
      <c r="I198" s="24" t="n"/>
      <c r="J198" s="25" t="n"/>
      <c r="K198" s="25" t="n"/>
      <c r="L198" s="25" t="n"/>
      <c r="M198" s="25" t="n"/>
      <c r="N198" s="26" t="n"/>
      <c r="O198" s="26" t="n"/>
      <c r="P198" s="27" t="str">
        <f>IF(OR(J198="",K198="",I198="",AF198=0,AD198=""),"",(K198-J198)*AF198*I198*AD198*AE198)</f>
        <v/>
      </c>
      <c r="Q198" s="26" t="n"/>
      <c r="R198" s="28" t="str">
        <f>IF(Q198&lt;&gt;"",Q198,IF(P198="","",P198-N(N198)+N(O198)))</f>
        <v/>
      </c>
      <c r="S198" s="27" t="str">
        <f>IF(OR(L198="",J198="",I198="",AD198=""),"",ABS(J198-L198)*I198*AD198*AE198)</f>
        <v/>
      </c>
      <c r="T198" s="29" t="str">
        <f>IF(OR(R198="",S198="",S198=0),"",R198/S198)</f>
        <v/>
      </c>
      <c r="U198" s="20" t="str">
        <f>IF(R198="","",IF(R198&gt;0,"Ganadora",IF(R198&lt;0,"Perdedora","BE")))</f>
        <v/>
      </c>
      <c r="V198" s="23" t="n"/>
      <c r="W198" s="23" t="n"/>
      <c r="X198" s="23" t="n"/>
      <c r="Y198" s="23" t="n"/>
      <c r="Z198" s="23" t="n"/>
      <c r="AA198" s="23" t="n"/>
      <c r="AB198" s="30" t="n"/>
      <c r="AC198" s="1" t="n"/>
      <c r="AD198" s="1" t="str">
        <f>IF(G198="","",IFERROR(INDEX('Listas'!$N$6:$N$35,MATCH(G198,'Listas'!$M$6:$M$35,0)),""))</f>
        <v/>
      </c>
      <c r="AE198">
        <f>IF(G198="",1,IFERROR(INDEX('Listas'!$P$6:$P$35,MATCH(G198,'Listas'!$M$6:$M$35,0)),1))</f>
        <v>1</v>
      </c>
      <c r="AF198">
        <f>IF(H198="Compra",1,IF(H198="Venta",-1,0))</f>
        <v>0</v>
      </c>
      <c r="AG198">
        <f>IF(AND(D198&lt;&gt;"",ISNUMBER(R198)),1,0)</f>
        <v>0</v>
      </c>
      <c r="AH198">
        <f>IF(AG198=0,0,IF(OR('Panel'!$D$5="Todas las cuentas",'Panel'!$D$5="",F198='Panel'!$D$5),1,0))</f>
        <v>0</v>
      </c>
      <c r="AI198">
        <f>IF(AH198=0,0,IF(AND(OR('Panel'!$G$5="",D198&gt;='Panel'!$G$5),OR('Panel'!$J$5="",D198&lt;='Panel'!$J$5)),1,0))</f>
        <v>0</v>
      </c>
      <c r="AJ198">
        <f>IF(AI198=1,R198,0)</f>
        <v>0</v>
      </c>
      <c r="AK198" t="str">
        <f>IF(AI198=1,'Panel'!$AB$4+SUM($AJ$5:AJ198),"")</f>
        <v/>
      </c>
      <c r="AL198">
        <f>IF(AI198=0,N(AL197),IF(R198&lt;0,N(AL197)+1,0))</f>
        <v>1</v>
      </c>
      <c r="AM198">
        <f>IF(AI198=0,N(AM197),IF(R198&gt;0,N(AM197)+1,0))</f>
        <v>0</v>
      </c>
      <c r="AN198">
        <f>IF(AI198=1,MAX('Panel'!$AB$4,N(AN197),AK198),N(AN197))</f>
        <v>21371.061500000033</v>
      </c>
      <c r="AO198">
        <f>IF(AI198=1,AN198-AK198,0)</f>
        <v>0</v>
      </c>
      <c r="AP198">
        <f>IF(AND(AI198=1,AN198&gt;0),AO198/AN198,0)</f>
        <v>0</v>
      </c>
      <c r="AQ198" t="str">
        <f>IF(AI198=1,SUM($AI$5:AI198),"")</f>
        <v/>
      </c>
      <c r="AR198" t="str">
        <f>IF(AI198=1,IF(COUNTIFS($D$5:D198,D198,$AI$5:AI198,1)=1,SUMIFS($AJ$5:$AJ$504,$D$5:$D$504,D198),""),"")</f>
        <v/>
      </c>
      <c r="AS198" t="str">
        <f>IF(AG198=1,WEEKDAY(D198,2),"")</f>
        <v/>
      </c>
      <c r="AT198" s="31" t="str">
        <f>IF(AG198=1,DATE(YEAR(D198),MONTH(D198),1),"")</f>
        <v/>
      </c>
      <c r="AU198">
        <f>IF(AG198=0,0,IF(AND(OR('Prop challenge'!$D$7="",F198='Prop challenge'!$D$7),OR('Prop challenge'!$D$9="",D198&gt;='Prop challenge'!$D$9)),1,0))</f>
        <v>0</v>
      </c>
      <c r="AV198">
        <f>IF(AU198=1,IF(COUNTIFS($D$5:D198,D198,$AU$5:AU198,1)=1,1,0),0)</f>
        <v>0</v>
      </c>
      <c r="AW198" t="str">
        <f>IF(AV198=1,SUM($AV$5:AV198),"")</f>
        <v/>
      </c>
      <c r="AX198" t="str">
        <f>IF(AV198=1,SUMIFS($R$5:$R$504,$D$5:$D$504,D198,$AU$5:$AU$504,1),"")</f>
        <v/>
      </c>
    </row>
    <row r="199">
      <c r="A199" s="20" t="str">
        <f>IF(AG199=1,ROW()-4,"")</f>
        <v/>
      </c>
      <c r="B199" s="21" t="n"/>
      <c r="C199" s="22" t="n"/>
      <c r="D199" s="21" t="n"/>
      <c r="E199" s="22" t="n"/>
      <c r="F199" s="23" t="n"/>
      <c r="G199" s="23" t="n"/>
      <c r="H199" s="23" t="n"/>
      <c r="I199" s="24" t="n"/>
      <c r="J199" s="25" t="n"/>
      <c r="K199" s="25" t="n"/>
      <c r="L199" s="25" t="n"/>
      <c r="M199" s="25" t="n"/>
      <c r="N199" s="26" t="n"/>
      <c r="O199" s="26" t="n"/>
      <c r="P199" s="27" t="str">
        <f>IF(OR(J199="",K199="",I199="",AF199=0,AD199=""),"",(K199-J199)*AF199*I199*AD199*AE199)</f>
        <v/>
      </c>
      <c r="Q199" s="26" t="n"/>
      <c r="R199" s="28" t="str">
        <f>IF(Q199&lt;&gt;"",Q199,IF(P199="","",P199-N(N199)+N(O199)))</f>
        <v/>
      </c>
      <c r="S199" s="27" t="str">
        <f>IF(OR(L199="",J199="",I199="",AD199=""),"",ABS(J199-L199)*I199*AD199*AE199)</f>
        <v/>
      </c>
      <c r="T199" s="29" t="str">
        <f>IF(OR(R199="",S199="",S199=0),"",R199/S199)</f>
        <v/>
      </c>
      <c r="U199" s="20" t="str">
        <f>IF(R199="","",IF(R199&gt;0,"Ganadora",IF(R199&lt;0,"Perdedora","BE")))</f>
        <v/>
      </c>
      <c r="V199" s="23" t="n"/>
      <c r="W199" s="23" t="n"/>
      <c r="X199" s="23" t="n"/>
      <c r="Y199" s="23" t="n"/>
      <c r="Z199" s="23" t="n"/>
      <c r="AA199" s="23" t="n"/>
      <c r="AB199" s="30" t="n"/>
      <c r="AC199" s="1" t="n"/>
      <c r="AD199" s="1" t="str">
        <f>IF(G199="","",IFERROR(INDEX('Listas'!$N$6:$N$35,MATCH(G199,'Listas'!$M$6:$M$35,0)),""))</f>
        <v/>
      </c>
      <c r="AE199">
        <f>IF(G199="",1,IFERROR(INDEX('Listas'!$P$6:$P$35,MATCH(G199,'Listas'!$M$6:$M$35,0)),1))</f>
        <v>1</v>
      </c>
      <c r="AF199">
        <f>IF(H199="Compra",1,IF(H199="Venta",-1,0))</f>
        <v>0</v>
      </c>
      <c r="AG199">
        <f>IF(AND(D199&lt;&gt;"",ISNUMBER(R199)),1,0)</f>
        <v>0</v>
      </c>
      <c r="AH199">
        <f>IF(AG199=0,0,IF(OR('Panel'!$D$5="Todas las cuentas",'Panel'!$D$5="",F199='Panel'!$D$5),1,0))</f>
        <v>0</v>
      </c>
      <c r="AI199">
        <f>IF(AH199=0,0,IF(AND(OR('Panel'!$G$5="",D199&gt;='Panel'!$G$5),OR('Panel'!$J$5="",D199&lt;='Panel'!$J$5)),1,0))</f>
        <v>0</v>
      </c>
      <c r="AJ199">
        <f>IF(AI199=1,R199,0)</f>
        <v>0</v>
      </c>
      <c r="AK199" t="str">
        <f>IF(AI199=1,'Panel'!$AB$4+SUM($AJ$5:AJ199),"")</f>
        <v/>
      </c>
      <c r="AL199">
        <f>IF(AI199=0,N(AL198),IF(R199&lt;0,N(AL198)+1,0))</f>
        <v>1</v>
      </c>
      <c r="AM199">
        <f>IF(AI199=0,N(AM198),IF(R199&gt;0,N(AM198)+1,0))</f>
        <v>0</v>
      </c>
      <c r="AN199">
        <f>IF(AI199=1,MAX('Panel'!$AB$4,N(AN198),AK199),N(AN198))</f>
        <v>21371.061500000033</v>
      </c>
      <c r="AO199">
        <f>IF(AI199=1,AN199-AK199,0)</f>
        <v>0</v>
      </c>
      <c r="AP199">
        <f>IF(AND(AI199=1,AN199&gt;0),AO199/AN199,0)</f>
        <v>0</v>
      </c>
      <c r="AQ199" t="str">
        <f>IF(AI199=1,SUM($AI$5:AI199),"")</f>
        <v/>
      </c>
      <c r="AR199" t="str">
        <f>IF(AI199=1,IF(COUNTIFS($D$5:D199,D199,$AI$5:AI199,1)=1,SUMIFS($AJ$5:$AJ$504,$D$5:$D$504,D199),""),"")</f>
        <v/>
      </c>
      <c r="AS199" t="str">
        <f>IF(AG199=1,WEEKDAY(D199,2),"")</f>
        <v/>
      </c>
      <c r="AT199" s="31" t="str">
        <f>IF(AG199=1,DATE(YEAR(D199),MONTH(D199),1),"")</f>
        <v/>
      </c>
      <c r="AU199">
        <f>IF(AG199=0,0,IF(AND(OR('Prop challenge'!$D$7="",F199='Prop challenge'!$D$7),OR('Prop challenge'!$D$9="",D199&gt;='Prop challenge'!$D$9)),1,0))</f>
        <v>0</v>
      </c>
      <c r="AV199">
        <f>IF(AU199=1,IF(COUNTIFS($D$5:D199,D199,$AU$5:AU199,1)=1,1,0),0)</f>
        <v>0</v>
      </c>
      <c r="AW199" t="str">
        <f>IF(AV199=1,SUM($AV$5:AV199),"")</f>
        <v/>
      </c>
      <c r="AX199" t="str">
        <f>IF(AV199=1,SUMIFS($R$5:$R$504,$D$5:$D$504,D199,$AU$5:$AU$504,1),"")</f>
        <v/>
      </c>
    </row>
    <row r="200">
      <c r="A200" s="20" t="str">
        <f>IF(AG200=1,ROW()-4,"")</f>
        <v/>
      </c>
      <c r="B200" s="21" t="n"/>
      <c r="C200" s="22" t="n"/>
      <c r="D200" s="21" t="n"/>
      <c r="E200" s="22" t="n"/>
      <c r="F200" s="23" t="n"/>
      <c r="G200" s="23" t="n"/>
      <c r="H200" s="23" t="n"/>
      <c r="I200" s="24" t="n"/>
      <c r="J200" s="25" t="n"/>
      <c r="K200" s="25" t="n"/>
      <c r="L200" s="25" t="n"/>
      <c r="M200" s="25" t="n"/>
      <c r="N200" s="26" t="n"/>
      <c r="O200" s="26" t="n"/>
      <c r="P200" s="27" t="str">
        <f>IF(OR(J200="",K200="",I200="",AF200=0,AD200=""),"",(K200-J200)*AF200*I200*AD200*AE200)</f>
        <v/>
      </c>
      <c r="Q200" s="26" t="n"/>
      <c r="R200" s="28" t="str">
        <f>IF(Q200&lt;&gt;"",Q200,IF(P200="","",P200-N(N200)+N(O200)))</f>
        <v/>
      </c>
      <c r="S200" s="27" t="str">
        <f>IF(OR(L200="",J200="",I200="",AD200=""),"",ABS(J200-L200)*I200*AD200*AE200)</f>
        <v/>
      </c>
      <c r="T200" s="29" t="str">
        <f>IF(OR(R200="",S200="",S200=0),"",R200/S200)</f>
        <v/>
      </c>
      <c r="U200" s="20" t="str">
        <f>IF(R200="","",IF(R200&gt;0,"Ganadora",IF(R200&lt;0,"Perdedora","BE")))</f>
        <v/>
      </c>
      <c r="V200" s="23" t="n"/>
      <c r="W200" s="23" t="n"/>
      <c r="X200" s="23" t="n"/>
      <c r="Y200" s="23" t="n"/>
      <c r="Z200" s="23" t="n"/>
      <c r="AA200" s="23" t="n"/>
      <c r="AB200" s="30" t="n"/>
      <c r="AC200" s="1" t="n"/>
      <c r="AD200" s="1" t="str">
        <f>IF(G200="","",IFERROR(INDEX('Listas'!$N$6:$N$35,MATCH(G200,'Listas'!$M$6:$M$35,0)),""))</f>
        <v/>
      </c>
      <c r="AE200">
        <f>IF(G200="",1,IFERROR(INDEX('Listas'!$P$6:$P$35,MATCH(G200,'Listas'!$M$6:$M$35,0)),1))</f>
        <v>1</v>
      </c>
      <c r="AF200">
        <f>IF(H200="Compra",1,IF(H200="Venta",-1,0))</f>
        <v>0</v>
      </c>
      <c r="AG200">
        <f>IF(AND(D200&lt;&gt;"",ISNUMBER(R200)),1,0)</f>
        <v>0</v>
      </c>
      <c r="AH200">
        <f>IF(AG200=0,0,IF(OR('Panel'!$D$5="Todas las cuentas",'Panel'!$D$5="",F200='Panel'!$D$5),1,0))</f>
        <v>0</v>
      </c>
      <c r="AI200">
        <f>IF(AH200=0,0,IF(AND(OR('Panel'!$G$5="",D200&gt;='Panel'!$G$5),OR('Panel'!$J$5="",D200&lt;='Panel'!$J$5)),1,0))</f>
        <v>0</v>
      </c>
      <c r="AJ200">
        <f>IF(AI200=1,R200,0)</f>
        <v>0</v>
      </c>
      <c r="AK200" t="str">
        <f>IF(AI200=1,'Panel'!$AB$4+SUM($AJ$5:AJ200),"")</f>
        <v/>
      </c>
      <c r="AL200">
        <f>IF(AI200=0,N(AL199),IF(R200&lt;0,N(AL199)+1,0))</f>
        <v>1</v>
      </c>
      <c r="AM200">
        <f>IF(AI200=0,N(AM199),IF(R200&gt;0,N(AM199)+1,0))</f>
        <v>0</v>
      </c>
      <c r="AN200">
        <f>IF(AI200=1,MAX('Panel'!$AB$4,N(AN199),AK200),N(AN199))</f>
        <v>21371.061500000033</v>
      </c>
      <c r="AO200">
        <f>IF(AI200=1,AN200-AK200,0)</f>
        <v>0</v>
      </c>
      <c r="AP200">
        <f>IF(AND(AI200=1,AN200&gt;0),AO200/AN200,0)</f>
        <v>0</v>
      </c>
      <c r="AQ200" t="str">
        <f>IF(AI200=1,SUM($AI$5:AI200),"")</f>
        <v/>
      </c>
      <c r="AR200" t="str">
        <f>IF(AI200=1,IF(COUNTIFS($D$5:D200,D200,$AI$5:AI200,1)=1,SUMIFS($AJ$5:$AJ$504,$D$5:$D$504,D200),""),"")</f>
        <v/>
      </c>
      <c r="AS200" t="str">
        <f>IF(AG200=1,WEEKDAY(D200,2),"")</f>
        <v/>
      </c>
      <c r="AT200" s="31" t="str">
        <f>IF(AG200=1,DATE(YEAR(D200),MONTH(D200),1),"")</f>
        <v/>
      </c>
      <c r="AU200">
        <f>IF(AG200=0,0,IF(AND(OR('Prop challenge'!$D$7="",F200='Prop challenge'!$D$7),OR('Prop challenge'!$D$9="",D200&gt;='Prop challenge'!$D$9)),1,0))</f>
        <v>0</v>
      </c>
      <c r="AV200">
        <f>IF(AU200=1,IF(COUNTIFS($D$5:D200,D200,$AU$5:AU200,1)=1,1,0),0)</f>
        <v>0</v>
      </c>
      <c r="AW200" t="str">
        <f>IF(AV200=1,SUM($AV$5:AV200),"")</f>
        <v/>
      </c>
      <c r="AX200" t="str">
        <f>IF(AV200=1,SUMIFS($R$5:$R$504,$D$5:$D$504,D200,$AU$5:$AU$504,1),"")</f>
        <v/>
      </c>
    </row>
    <row r="201">
      <c r="A201" s="20" t="str">
        <f>IF(AG201=1,ROW()-4,"")</f>
        <v/>
      </c>
      <c r="B201" s="21" t="n"/>
      <c r="C201" s="22" t="n"/>
      <c r="D201" s="21" t="n"/>
      <c r="E201" s="22" t="n"/>
      <c r="F201" s="23" t="n"/>
      <c r="G201" s="23" t="n"/>
      <c r="H201" s="23" t="n"/>
      <c r="I201" s="24" t="n"/>
      <c r="J201" s="25" t="n"/>
      <c r="K201" s="25" t="n"/>
      <c r="L201" s="25" t="n"/>
      <c r="M201" s="25" t="n"/>
      <c r="N201" s="26" t="n"/>
      <c r="O201" s="26" t="n"/>
      <c r="P201" s="27" t="str">
        <f>IF(OR(J201="",K201="",I201="",AF201=0,AD201=""),"",(K201-J201)*AF201*I201*AD201*AE201)</f>
        <v/>
      </c>
      <c r="Q201" s="26" t="n"/>
      <c r="R201" s="28" t="str">
        <f>IF(Q201&lt;&gt;"",Q201,IF(P201="","",P201-N(N201)+N(O201)))</f>
        <v/>
      </c>
      <c r="S201" s="27" t="str">
        <f>IF(OR(L201="",J201="",I201="",AD201=""),"",ABS(J201-L201)*I201*AD201*AE201)</f>
        <v/>
      </c>
      <c r="T201" s="29" t="str">
        <f>IF(OR(R201="",S201="",S201=0),"",R201/S201)</f>
        <v/>
      </c>
      <c r="U201" s="20" t="str">
        <f>IF(R201="","",IF(R201&gt;0,"Ganadora",IF(R201&lt;0,"Perdedora","BE")))</f>
        <v/>
      </c>
      <c r="V201" s="23" t="n"/>
      <c r="W201" s="23" t="n"/>
      <c r="X201" s="23" t="n"/>
      <c r="Y201" s="23" t="n"/>
      <c r="Z201" s="23" t="n"/>
      <c r="AA201" s="23" t="n"/>
      <c r="AB201" s="30" t="n"/>
      <c r="AC201" s="1" t="n"/>
      <c r="AD201" s="1" t="str">
        <f>IF(G201="","",IFERROR(INDEX('Listas'!$N$6:$N$35,MATCH(G201,'Listas'!$M$6:$M$35,0)),""))</f>
        <v/>
      </c>
      <c r="AE201">
        <f>IF(G201="",1,IFERROR(INDEX('Listas'!$P$6:$P$35,MATCH(G201,'Listas'!$M$6:$M$35,0)),1))</f>
        <v>1</v>
      </c>
      <c r="AF201">
        <f>IF(H201="Compra",1,IF(H201="Venta",-1,0))</f>
        <v>0</v>
      </c>
      <c r="AG201">
        <f>IF(AND(D201&lt;&gt;"",ISNUMBER(R201)),1,0)</f>
        <v>0</v>
      </c>
      <c r="AH201">
        <f>IF(AG201=0,0,IF(OR('Panel'!$D$5="Todas las cuentas",'Panel'!$D$5="",F201='Panel'!$D$5),1,0))</f>
        <v>0</v>
      </c>
      <c r="AI201">
        <f>IF(AH201=0,0,IF(AND(OR('Panel'!$G$5="",D201&gt;='Panel'!$G$5),OR('Panel'!$J$5="",D201&lt;='Panel'!$J$5)),1,0))</f>
        <v>0</v>
      </c>
      <c r="AJ201">
        <f>IF(AI201=1,R201,0)</f>
        <v>0</v>
      </c>
      <c r="AK201" t="str">
        <f>IF(AI201=1,'Panel'!$AB$4+SUM($AJ$5:AJ201),"")</f>
        <v/>
      </c>
      <c r="AL201">
        <f>IF(AI201=0,N(AL200),IF(R201&lt;0,N(AL200)+1,0))</f>
        <v>1</v>
      </c>
      <c r="AM201">
        <f>IF(AI201=0,N(AM200),IF(R201&gt;0,N(AM200)+1,0))</f>
        <v>0</v>
      </c>
      <c r="AN201">
        <f>IF(AI201=1,MAX('Panel'!$AB$4,N(AN200),AK201),N(AN200))</f>
        <v>21371.061500000033</v>
      </c>
      <c r="AO201">
        <f>IF(AI201=1,AN201-AK201,0)</f>
        <v>0</v>
      </c>
      <c r="AP201">
        <f>IF(AND(AI201=1,AN201&gt;0),AO201/AN201,0)</f>
        <v>0</v>
      </c>
      <c r="AQ201" t="str">
        <f>IF(AI201=1,SUM($AI$5:AI201),"")</f>
        <v/>
      </c>
      <c r="AR201" t="str">
        <f>IF(AI201=1,IF(COUNTIFS($D$5:D201,D201,$AI$5:AI201,1)=1,SUMIFS($AJ$5:$AJ$504,$D$5:$D$504,D201),""),"")</f>
        <v/>
      </c>
      <c r="AS201" t="str">
        <f>IF(AG201=1,WEEKDAY(D201,2),"")</f>
        <v/>
      </c>
      <c r="AT201" s="31" t="str">
        <f>IF(AG201=1,DATE(YEAR(D201),MONTH(D201),1),"")</f>
        <v/>
      </c>
      <c r="AU201">
        <f>IF(AG201=0,0,IF(AND(OR('Prop challenge'!$D$7="",F201='Prop challenge'!$D$7),OR('Prop challenge'!$D$9="",D201&gt;='Prop challenge'!$D$9)),1,0))</f>
        <v>0</v>
      </c>
      <c r="AV201">
        <f>IF(AU201=1,IF(COUNTIFS($D$5:D201,D201,$AU$5:AU201,1)=1,1,0),0)</f>
        <v>0</v>
      </c>
      <c r="AW201" t="str">
        <f>IF(AV201=1,SUM($AV$5:AV201),"")</f>
        <v/>
      </c>
      <c r="AX201" t="str">
        <f>IF(AV201=1,SUMIFS($R$5:$R$504,$D$5:$D$504,D201,$AU$5:$AU$504,1),"")</f>
        <v/>
      </c>
    </row>
    <row r="202">
      <c r="A202" s="20" t="str">
        <f>IF(AG202=1,ROW()-4,"")</f>
        <v/>
      </c>
      <c r="B202" s="21" t="n"/>
      <c r="C202" s="22" t="n"/>
      <c r="D202" s="21" t="n"/>
      <c r="E202" s="22" t="n"/>
      <c r="F202" s="23" t="n"/>
      <c r="G202" s="23" t="n"/>
      <c r="H202" s="23" t="n"/>
      <c r="I202" s="24" t="n"/>
      <c r="J202" s="25" t="n"/>
      <c r="K202" s="25" t="n"/>
      <c r="L202" s="25" t="n"/>
      <c r="M202" s="25" t="n"/>
      <c r="N202" s="26" t="n"/>
      <c r="O202" s="26" t="n"/>
      <c r="P202" s="27" t="str">
        <f>IF(OR(J202="",K202="",I202="",AF202=0,AD202=""),"",(K202-J202)*AF202*I202*AD202*AE202)</f>
        <v/>
      </c>
      <c r="Q202" s="26" t="n"/>
      <c r="R202" s="28" t="str">
        <f>IF(Q202&lt;&gt;"",Q202,IF(P202="","",P202-N(N202)+N(O202)))</f>
        <v/>
      </c>
      <c r="S202" s="27" t="str">
        <f>IF(OR(L202="",J202="",I202="",AD202=""),"",ABS(J202-L202)*I202*AD202*AE202)</f>
        <v/>
      </c>
      <c r="T202" s="29" t="str">
        <f>IF(OR(R202="",S202="",S202=0),"",R202/S202)</f>
        <v/>
      </c>
      <c r="U202" s="20" t="str">
        <f>IF(R202="","",IF(R202&gt;0,"Ganadora",IF(R202&lt;0,"Perdedora","BE")))</f>
        <v/>
      </c>
      <c r="V202" s="23" t="n"/>
      <c r="W202" s="23" t="n"/>
      <c r="X202" s="23" t="n"/>
      <c r="Y202" s="23" t="n"/>
      <c r="Z202" s="23" t="n"/>
      <c r="AA202" s="23" t="n"/>
      <c r="AB202" s="30" t="n"/>
      <c r="AC202" s="1" t="n"/>
      <c r="AD202" s="1" t="str">
        <f>IF(G202="","",IFERROR(INDEX('Listas'!$N$6:$N$35,MATCH(G202,'Listas'!$M$6:$M$35,0)),""))</f>
        <v/>
      </c>
      <c r="AE202">
        <f>IF(G202="",1,IFERROR(INDEX('Listas'!$P$6:$P$35,MATCH(G202,'Listas'!$M$6:$M$35,0)),1))</f>
        <v>1</v>
      </c>
      <c r="AF202">
        <f>IF(H202="Compra",1,IF(H202="Venta",-1,0))</f>
        <v>0</v>
      </c>
      <c r="AG202">
        <f>IF(AND(D202&lt;&gt;"",ISNUMBER(R202)),1,0)</f>
        <v>0</v>
      </c>
      <c r="AH202">
        <f>IF(AG202=0,0,IF(OR('Panel'!$D$5="Todas las cuentas",'Panel'!$D$5="",F202='Panel'!$D$5),1,0))</f>
        <v>0</v>
      </c>
      <c r="AI202">
        <f>IF(AH202=0,0,IF(AND(OR('Panel'!$G$5="",D202&gt;='Panel'!$G$5),OR('Panel'!$J$5="",D202&lt;='Panel'!$J$5)),1,0))</f>
        <v>0</v>
      </c>
      <c r="AJ202">
        <f>IF(AI202=1,R202,0)</f>
        <v>0</v>
      </c>
      <c r="AK202" t="str">
        <f>IF(AI202=1,'Panel'!$AB$4+SUM($AJ$5:AJ202),"")</f>
        <v/>
      </c>
      <c r="AL202">
        <f>IF(AI202=0,N(AL201),IF(R202&lt;0,N(AL201)+1,0))</f>
        <v>1</v>
      </c>
      <c r="AM202">
        <f>IF(AI202=0,N(AM201),IF(R202&gt;0,N(AM201)+1,0))</f>
        <v>0</v>
      </c>
      <c r="AN202">
        <f>IF(AI202=1,MAX('Panel'!$AB$4,N(AN201),AK202),N(AN201))</f>
        <v>21371.061500000033</v>
      </c>
      <c r="AO202">
        <f>IF(AI202=1,AN202-AK202,0)</f>
        <v>0</v>
      </c>
      <c r="AP202">
        <f>IF(AND(AI202=1,AN202&gt;0),AO202/AN202,0)</f>
        <v>0</v>
      </c>
      <c r="AQ202" t="str">
        <f>IF(AI202=1,SUM($AI$5:AI202),"")</f>
        <v/>
      </c>
      <c r="AR202" t="str">
        <f>IF(AI202=1,IF(COUNTIFS($D$5:D202,D202,$AI$5:AI202,1)=1,SUMIFS($AJ$5:$AJ$504,$D$5:$D$504,D202),""),"")</f>
        <v/>
      </c>
      <c r="AS202" t="str">
        <f>IF(AG202=1,WEEKDAY(D202,2),"")</f>
        <v/>
      </c>
      <c r="AT202" s="31" t="str">
        <f>IF(AG202=1,DATE(YEAR(D202),MONTH(D202),1),"")</f>
        <v/>
      </c>
      <c r="AU202">
        <f>IF(AG202=0,0,IF(AND(OR('Prop challenge'!$D$7="",F202='Prop challenge'!$D$7),OR('Prop challenge'!$D$9="",D202&gt;='Prop challenge'!$D$9)),1,0))</f>
        <v>0</v>
      </c>
      <c r="AV202">
        <f>IF(AU202=1,IF(COUNTIFS($D$5:D202,D202,$AU$5:AU202,1)=1,1,0),0)</f>
        <v>0</v>
      </c>
      <c r="AW202" t="str">
        <f>IF(AV202=1,SUM($AV$5:AV202),"")</f>
        <v/>
      </c>
      <c r="AX202" t="str">
        <f>IF(AV202=1,SUMIFS($R$5:$R$504,$D$5:$D$504,D202,$AU$5:$AU$504,1),"")</f>
        <v/>
      </c>
    </row>
    <row r="203">
      <c r="A203" s="20" t="str">
        <f>IF(AG203=1,ROW()-4,"")</f>
        <v/>
      </c>
      <c r="B203" s="21" t="n"/>
      <c r="C203" s="22" t="n"/>
      <c r="D203" s="21" t="n"/>
      <c r="E203" s="22" t="n"/>
      <c r="F203" s="23" t="n"/>
      <c r="G203" s="23" t="n"/>
      <c r="H203" s="23" t="n"/>
      <c r="I203" s="24" t="n"/>
      <c r="J203" s="25" t="n"/>
      <c r="K203" s="25" t="n"/>
      <c r="L203" s="25" t="n"/>
      <c r="M203" s="25" t="n"/>
      <c r="N203" s="26" t="n"/>
      <c r="O203" s="26" t="n"/>
      <c r="P203" s="27" t="str">
        <f>IF(OR(J203="",K203="",I203="",AF203=0,AD203=""),"",(K203-J203)*AF203*I203*AD203*AE203)</f>
        <v/>
      </c>
      <c r="Q203" s="26" t="n"/>
      <c r="R203" s="28" t="str">
        <f>IF(Q203&lt;&gt;"",Q203,IF(P203="","",P203-N(N203)+N(O203)))</f>
        <v/>
      </c>
      <c r="S203" s="27" t="str">
        <f>IF(OR(L203="",J203="",I203="",AD203=""),"",ABS(J203-L203)*I203*AD203*AE203)</f>
        <v/>
      </c>
      <c r="T203" s="29" t="str">
        <f>IF(OR(R203="",S203="",S203=0),"",R203/S203)</f>
        <v/>
      </c>
      <c r="U203" s="20" t="str">
        <f>IF(R203="","",IF(R203&gt;0,"Ganadora",IF(R203&lt;0,"Perdedora","BE")))</f>
        <v/>
      </c>
      <c r="V203" s="23" t="n"/>
      <c r="W203" s="23" t="n"/>
      <c r="X203" s="23" t="n"/>
      <c r="Y203" s="23" t="n"/>
      <c r="Z203" s="23" t="n"/>
      <c r="AA203" s="23" t="n"/>
      <c r="AB203" s="30" t="n"/>
      <c r="AC203" s="1" t="n"/>
      <c r="AD203" s="1" t="str">
        <f>IF(G203="","",IFERROR(INDEX('Listas'!$N$6:$N$35,MATCH(G203,'Listas'!$M$6:$M$35,0)),""))</f>
        <v/>
      </c>
      <c r="AE203">
        <f>IF(G203="",1,IFERROR(INDEX('Listas'!$P$6:$P$35,MATCH(G203,'Listas'!$M$6:$M$35,0)),1))</f>
        <v>1</v>
      </c>
      <c r="AF203">
        <f>IF(H203="Compra",1,IF(H203="Venta",-1,0))</f>
        <v>0</v>
      </c>
      <c r="AG203">
        <f>IF(AND(D203&lt;&gt;"",ISNUMBER(R203)),1,0)</f>
        <v>0</v>
      </c>
      <c r="AH203">
        <f>IF(AG203=0,0,IF(OR('Panel'!$D$5="Todas las cuentas",'Panel'!$D$5="",F203='Panel'!$D$5),1,0))</f>
        <v>0</v>
      </c>
      <c r="AI203">
        <f>IF(AH203=0,0,IF(AND(OR('Panel'!$G$5="",D203&gt;='Panel'!$G$5),OR('Panel'!$J$5="",D203&lt;='Panel'!$J$5)),1,0))</f>
        <v>0</v>
      </c>
      <c r="AJ203">
        <f>IF(AI203=1,R203,0)</f>
        <v>0</v>
      </c>
      <c r="AK203" t="str">
        <f>IF(AI203=1,'Panel'!$AB$4+SUM($AJ$5:AJ203),"")</f>
        <v/>
      </c>
      <c r="AL203">
        <f>IF(AI203=0,N(AL202),IF(R203&lt;0,N(AL202)+1,0))</f>
        <v>1</v>
      </c>
      <c r="AM203">
        <f>IF(AI203=0,N(AM202),IF(R203&gt;0,N(AM202)+1,0))</f>
        <v>0</v>
      </c>
      <c r="AN203">
        <f>IF(AI203=1,MAX('Panel'!$AB$4,N(AN202),AK203),N(AN202))</f>
        <v>21371.061500000033</v>
      </c>
      <c r="AO203">
        <f>IF(AI203=1,AN203-AK203,0)</f>
        <v>0</v>
      </c>
      <c r="AP203">
        <f>IF(AND(AI203=1,AN203&gt;0),AO203/AN203,0)</f>
        <v>0</v>
      </c>
      <c r="AQ203" t="str">
        <f>IF(AI203=1,SUM($AI$5:AI203),"")</f>
        <v/>
      </c>
      <c r="AR203" t="str">
        <f>IF(AI203=1,IF(COUNTIFS($D$5:D203,D203,$AI$5:AI203,1)=1,SUMIFS($AJ$5:$AJ$504,$D$5:$D$504,D203),""),"")</f>
        <v/>
      </c>
      <c r="AS203" t="str">
        <f>IF(AG203=1,WEEKDAY(D203,2),"")</f>
        <v/>
      </c>
      <c r="AT203" s="31" t="str">
        <f>IF(AG203=1,DATE(YEAR(D203),MONTH(D203),1),"")</f>
        <v/>
      </c>
      <c r="AU203">
        <f>IF(AG203=0,0,IF(AND(OR('Prop challenge'!$D$7="",F203='Prop challenge'!$D$7),OR('Prop challenge'!$D$9="",D203&gt;='Prop challenge'!$D$9)),1,0))</f>
        <v>0</v>
      </c>
      <c r="AV203">
        <f>IF(AU203=1,IF(COUNTIFS($D$5:D203,D203,$AU$5:AU203,1)=1,1,0),0)</f>
        <v>0</v>
      </c>
      <c r="AW203" t="str">
        <f>IF(AV203=1,SUM($AV$5:AV203),"")</f>
        <v/>
      </c>
      <c r="AX203" t="str">
        <f>IF(AV203=1,SUMIFS($R$5:$R$504,$D$5:$D$504,D203,$AU$5:$AU$504,1),"")</f>
        <v/>
      </c>
    </row>
    <row r="204">
      <c r="A204" s="20" t="str">
        <f>IF(AG204=1,ROW()-4,"")</f>
        <v/>
      </c>
      <c r="B204" s="21" t="n"/>
      <c r="C204" s="22" t="n"/>
      <c r="D204" s="21" t="n"/>
      <c r="E204" s="22" t="n"/>
      <c r="F204" s="23" t="n"/>
      <c r="G204" s="23" t="n"/>
      <c r="H204" s="23" t="n"/>
      <c r="I204" s="24" t="n"/>
      <c r="J204" s="25" t="n"/>
      <c r="K204" s="25" t="n"/>
      <c r="L204" s="25" t="n"/>
      <c r="M204" s="25" t="n"/>
      <c r="N204" s="26" t="n"/>
      <c r="O204" s="26" t="n"/>
      <c r="P204" s="27" t="str">
        <f>IF(OR(J204="",K204="",I204="",AF204=0,AD204=""),"",(K204-J204)*AF204*I204*AD204*AE204)</f>
        <v/>
      </c>
      <c r="Q204" s="26" t="n"/>
      <c r="R204" s="28" t="str">
        <f>IF(Q204&lt;&gt;"",Q204,IF(P204="","",P204-N(N204)+N(O204)))</f>
        <v/>
      </c>
      <c r="S204" s="27" t="str">
        <f>IF(OR(L204="",J204="",I204="",AD204=""),"",ABS(J204-L204)*I204*AD204*AE204)</f>
        <v/>
      </c>
      <c r="T204" s="29" t="str">
        <f>IF(OR(R204="",S204="",S204=0),"",R204/S204)</f>
        <v/>
      </c>
      <c r="U204" s="20" t="str">
        <f>IF(R204="","",IF(R204&gt;0,"Ganadora",IF(R204&lt;0,"Perdedora","BE")))</f>
        <v/>
      </c>
      <c r="V204" s="23" t="n"/>
      <c r="W204" s="23" t="n"/>
      <c r="X204" s="23" t="n"/>
      <c r="Y204" s="23" t="n"/>
      <c r="Z204" s="23" t="n"/>
      <c r="AA204" s="23" t="n"/>
      <c r="AB204" s="30" t="n"/>
      <c r="AC204" s="1" t="n"/>
      <c r="AD204" s="1" t="str">
        <f>IF(G204="","",IFERROR(INDEX('Listas'!$N$6:$N$35,MATCH(G204,'Listas'!$M$6:$M$35,0)),""))</f>
        <v/>
      </c>
      <c r="AE204">
        <f>IF(G204="",1,IFERROR(INDEX('Listas'!$P$6:$P$35,MATCH(G204,'Listas'!$M$6:$M$35,0)),1))</f>
        <v>1</v>
      </c>
      <c r="AF204">
        <f>IF(H204="Compra",1,IF(H204="Venta",-1,0))</f>
        <v>0</v>
      </c>
      <c r="AG204">
        <f>IF(AND(D204&lt;&gt;"",ISNUMBER(R204)),1,0)</f>
        <v>0</v>
      </c>
      <c r="AH204">
        <f>IF(AG204=0,0,IF(OR('Panel'!$D$5="Todas las cuentas",'Panel'!$D$5="",F204='Panel'!$D$5),1,0))</f>
        <v>0</v>
      </c>
      <c r="AI204">
        <f>IF(AH204=0,0,IF(AND(OR('Panel'!$G$5="",D204&gt;='Panel'!$G$5),OR('Panel'!$J$5="",D204&lt;='Panel'!$J$5)),1,0))</f>
        <v>0</v>
      </c>
      <c r="AJ204">
        <f>IF(AI204=1,R204,0)</f>
        <v>0</v>
      </c>
      <c r="AK204" t="str">
        <f>IF(AI204=1,'Panel'!$AB$4+SUM($AJ$5:AJ204),"")</f>
        <v/>
      </c>
      <c r="AL204">
        <f>IF(AI204=0,N(AL203),IF(R204&lt;0,N(AL203)+1,0))</f>
        <v>1</v>
      </c>
      <c r="AM204">
        <f>IF(AI204=0,N(AM203),IF(R204&gt;0,N(AM203)+1,0))</f>
        <v>0</v>
      </c>
      <c r="AN204">
        <f>IF(AI204=1,MAX('Panel'!$AB$4,N(AN203),AK204),N(AN203))</f>
        <v>21371.061500000033</v>
      </c>
      <c r="AO204">
        <f>IF(AI204=1,AN204-AK204,0)</f>
        <v>0</v>
      </c>
      <c r="AP204">
        <f>IF(AND(AI204=1,AN204&gt;0),AO204/AN204,0)</f>
        <v>0</v>
      </c>
      <c r="AQ204" t="str">
        <f>IF(AI204=1,SUM($AI$5:AI204),"")</f>
        <v/>
      </c>
      <c r="AR204" t="str">
        <f>IF(AI204=1,IF(COUNTIFS($D$5:D204,D204,$AI$5:AI204,1)=1,SUMIFS($AJ$5:$AJ$504,$D$5:$D$504,D204),""),"")</f>
        <v/>
      </c>
      <c r="AS204" t="str">
        <f>IF(AG204=1,WEEKDAY(D204,2),"")</f>
        <v/>
      </c>
      <c r="AT204" s="31" t="str">
        <f>IF(AG204=1,DATE(YEAR(D204),MONTH(D204),1),"")</f>
        <v/>
      </c>
      <c r="AU204">
        <f>IF(AG204=0,0,IF(AND(OR('Prop challenge'!$D$7="",F204='Prop challenge'!$D$7),OR('Prop challenge'!$D$9="",D204&gt;='Prop challenge'!$D$9)),1,0))</f>
        <v>0</v>
      </c>
      <c r="AV204">
        <f>IF(AU204=1,IF(COUNTIFS($D$5:D204,D204,$AU$5:AU204,1)=1,1,0),0)</f>
        <v>0</v>
      </c>
      <c r="AW204" t="str">
        <f>IF(AV204=1,SUM($AV$5:AV204),"")</f>
        <v/>
      </c>
      <c r="AX204" t="str">
        <f>IF(AV204=1,SUMIFS($R$5:$R$504,$D$5:$D$504,D204,$AU$5:$AU$504,1),"")</f>
        <v/>
      </c>
    </row>
    <row r="205">
      <c r="A205" s="20" t="str">
        <f>IF(AG205=1,ROW()-4,"")</f>
        <v/>
      </c>
      <c r="B205" s="21" t="n"/>
      <c r="C205" s="22" t="n"/>
      <c r="D205" s="21" t="n"/>
      <c r="E205" s="22" t="n"/>
      <c r="F205" s="23" t="n"/>
      <c r="G205" s="23" t="n"/>
      <c r="H205" s="23" t="n"/>
      <c r="I205" s="24" t="n"/>
      <c r="J205" s="25" t="n"/>
      <c r="K205" s="25" t="n"/>
      <c r="L205" s="25" t="n"/>
      <c r="M205" s="25" t="n"/>
      <c r="N205" s="26" t="n"/>
      <c r="O205" s="26" t="n"/>
      <c r="P205" s="27" t="str">
        <f>IF(OR(J205="",K205="",I205="",AF205=0,AD205=""),"",(K205-J205)*AF205*I205*AD205*AE205)</f>
        <v/>
      </c>
      <c r="Q205" s="26" t="n"/>
      <c r="R205" s="28" t="str">
        <f>IF(Q205&lt;&gt;"",Q205,IF(P205="","",P205-N(N205)+N(O205)))</f>
        <v/>
      </c>
      <c r="S205" s="27" t="str">
        <f>IF(OR(L205="",J205="",I205="",AD205=""),"",ABS(J205-L205)*I205*AD205*AE205)</f>
        <v/>
      </c>
      <c r="T205" s="29" t="str">
        <f>IF(OR(R205="",S205="",S205=0),"",R205/S205)</f>
        <v/>
      </c>
      <c r="U205" s="20" t="str">
        <f>IF(R205="","",IF(R205&gt;0,"Ganadora",IF(R205&lt;0,"Perdedora","BE")))</f>
        <v/>
      </c>
      <c r="V205" s="23" t="n"/>
      <c r="W205" s="23" t="n"/>
      <c r="X205" s="23" t="n"/>
      <c r="Y205" s="23" t="n"/>
      <c r="Z205" s="23" t="n"/>
      <c r="AA205" s="23" t="n"/>
      <c r="AB205" s="30" t="n"/>
      <c r="AC205" s="1" t="n"/>
      <c r="AD205" s="1" t="str">
        <f>IF(G205="","",IFERROR(INDEX('Listas'!$N$6:$N$35,MATCH(G205,'Listas'!$M$6:$M$35,0)),""))</f>
        <v/>
      </c>
      <c r="AE205">
        <f>IF(G205="",1,IFERROR(INDEX('Listas'!$P$6:$P$35,MATCH(G205,'Listas'!$M$6:$M$35,0)),1))</f>
        <v>1</v>
      </c>
      <c r="AF205">
        <f>IF(H205="Compra",1,IF(H205="Venta",-1,0))</f>
        <v>0</v>
      </c>
      <c r="AG205">
        <f>IF(AND(D205&lt;&gt;"",ISNUMBER(R205)),1,0)</f>
        <v>0</v>
      </c>
      <c r="AH205">
        <f>IF(AG205=0,0,IF(OR('Panel'!$D$5="Todas las cuentas",'Panel'!$D$5="",F205='Panel'!$D$5),1,0))</f>
        <v>0</v>
      </c>
      <c r="AI205">
        <f>IF(AH205=0,0,IF(AND(OR('Panel'!$G$5="",D205&gt;='Panel'!$G$5),OR('Panel'!$J$5="",D205&lt;='Panel'!$J$5)),1,0))</f>
        <v>0</v>
      </c>
      <c r="AJ205">
        <f>IF(AI205=1,R205,0)</f>
        <v>0</v>
      </c>
      <c r="AK205" t="str">
        <f>IF(AI205=1,'Panel'!$AB$4+SUM($AJ$5:AJ205),"")</f>
        <v/>
      </c>
      <c r="AL205">
        <f>IF(AI205=0,N(AL204),IF(R205&lt;0,N(AL204)+1,0))</f>
        <v>1</v>
      </c>
      <c r="AM205">
        <f>IF(AI205=0,N(AM204),IF(R205&gt;0,N(AM204)+1,0))</f>
        <v>0</v>
      </c>
      <c r="AN205">
        <f>IF(AI205=1,MAX('Panel'!$AB$4,N(AN204),AK205),N(AN204))</f>
        <v>21371.061500000033</v>
      </c>
      <c r="AO205">
        <f>IF(AI205=1,AN205-AK205,0)</f>
        <v>0</v>
      </c>
      <c r="AP205">
        <f>IF(AND(AI205=1,AN205&gt;0),AO205/AN205,0)</f>
        <v>0</v>
      </c>
      <c r="AQ205" t="str">
        <f>IF(AI205=1,SUM($AI$5:AI205),"")</f>
        <v/>
      </c>
      <c r="AR205" t="str">
        <f>IF(AI205=1,IF(COUNTIFS($D$5:D205,D205,$AI$5:AI205,1)=1,SUMIFS($AJ$5:$AJ$504,$D$5:$D$504,D205),""),"")</f>
        <v/>
      </c>
      <c r="AS205" t="str">
        <f>IF(AG205=1,WEEKDAY(D205,2),"")</f>
        <v/>
      </c>
      <c r="AT205" s="31" t="str">
        <f>IF(AG205=1,DATE(YEAR(D205),MONTH(D205),1),"")</f>
        <v/>
      </c>
      <c r="AU205">
        <f>IF(AG205=0,0,IF(AND(OR('Prop challenge'!$D$7="",F205='Prop challenge'!$D$7),OR('Prop challenge'!$D$9="",D205&gt;='Prop challenge'!$D$9)),1,0))</f>
        <v>0</v>
      </c>
      <c r="AV205">
        <f>IF(AU205=1,IF(COUNTIFS($D$5:D205,D205,$AU$5:AU205,1)=1,1,0),0)</f>
        <v>0</v>
      </c>
      <c r="AW205" t="str">
        <f>IF(AV205=1,SUM($AV$5:AV205),"")</f>
        <v/>
      </c>
      <c r="AX205" t="str">
        <f>IF(AV205=1,SUMIFS($R$5:$R$504,$D$5:$D$504,D205,$AU$5:$AU$504,1),"")</f>
        <v/>
      </c>
    </row>
    <row r="206">
      <c r="A206" s="20" t="str">
        <f>IF(AG206=1,ROW()-4,"")</f>
        <v/>
      </c>
      <c r="B206" s="21" t="n"/>
      <c r="C206" s="22" t="n"/>
      <c r="D206" s="21" t="n"/>
      <c r="E206" s="22" t="n"/>
      <c r="F206" s="23" t="n"/>
      <c r="G206" s="23" t="n"/>
      <c r="H206" s="23" t="n"/>
      <c r="I206" s="24" t="n"/>
      <c r="J206" s="25" t="n"/>
      <c r="K206" s="25" t="n"/>
      <c r="L206" s="25" t="n"/>
      <c r="M206" s="25" t="n"/>
      <c r="N206" s="26" t="n"/>
      <c r="O206" s="26" t="n"/>
      <c r="P206" s="27" t="str">
        <f>IF(OR(J206="",K206="",I206="",AF206=0,AD206=""),"",(K206-J206)*AF206*I206*AD206*AE206)</f>
        <v/>
      </c>
      <c r="Q206" s="26" t="n"/>
      <c r="R206" s="28" t="str">
        <f>IF(Q206&lt;&gt;"",Q206,IF(P206="","",P206-N(N206)+N(O206)))</f>
        <v/>
      </c>
      <c r="S206" s="27" t="str">
        <f>IF(OR(L206="",J206="",I206="",AD206=""),"",ABS(J206-L206)*I206*AD206*AE206)</f>
        <v/>
      </c>
      <c r="T206" s="29" t="str">
        <f>IF(OR(R206="",S206="",S206=0),"",R206/S206)</f>
        <v/>
      </c>
      <c r="U206" s="20" t="str">
        <f>IF(R206="","",IF(R206&gt;0,"Ganadora",IF(R206&lt;0,"Perdedora","BE")))</f>
        <v/>
      </c>
      <c r="V206" s="23" t="n"/>
      <c r="W206" s="23" t="n"/>
      <c r="X206" s="23" t="n"/>
      <c r="Y206" s="23" t="n"/>
      <c r="Z206" s="23" t="n"/>
      <c r="AA206" s="23" t="n"/>
      <c r="AB206" s="30" t="n"/>
      <c r="AC206" s="1" t="n"/>
      <c r="AD206" s="1" t="str">
        <f>IF(G206="","",IFERROR(INDEX('Listas'!$N$6:$N$35,MATCH(G206,'Listas'!$M$6:$M$35,0)),""))</f>
        <v/>
      </c>
      <c r="AE206">
        <f>IF(G206="",1,IFERROR(INDEX('Listas'!$P$6:$P$35,MATCH(G206,'Listas'!$M$6:$M$35,0)),1))</f>
        <v>1</v>
      </c>
      <c r="AF206">
        <f>IF(H206="Compra",1,IF(H206="Venta",-1,0))</f>
        <v>0</v>
      </c>
      <c r="AG206">
        <f>IF(AND(D206&lt;&gt;"",ISNUMBER(R206)),1,0)</f>
        <v>0</v>
      </c>
      <c r="AH206">
        <f>IF(AG206=0,0,IF(OR('Panel'!$D$5="Todas las cuentas",'Panel'!$D$5="",F206='Panel'!$D$5),1,0))</f>
        <v>0</v>
      </c>
      <c r="AI206">
        <f>IF(AH206=0,0,IF(AND(OR('Panel'!$G$5="",D206&gt;='Panel'!$G$5),OR('Panel'!$J$5="",D206&lt;='Panel'!$J$5)),1,0))</f>
        <v>0</v>
      </c>
      <c r="AJ206">
        <f>IF(AI206=1,R206,0)</f>
        <v>0</v>
      </c>
      <c r="AK206" t="str">
        <f>IF(AI206=1,'Panel'!$AB$4+SUM($AJ$5:AJ206),"")</f>
        <v/>
      </c>
      <c r="AL206">
        <f>IF(AI206=0,N(AL205),IF(R206&lt;0,N(AL205)+1,0))</f>
        <v>1</v>
      </c>
      <c r="AM206">
        <f>IF(AI206=0,N(AM205),IF(R206&gt;0,N(AM205)+1,0))</f>
        <v>0</v>
      </c>
      <c r="AN206">
        <f>IF(AI206=1,MAX('Panel'!$AB$4,N(AN205),AK206),N(AN205))</f>
        <v>21371.061500000033</v>
      </c>
      <c r="AO206">
        <f>IF(AI206=1,AN206-AK206,0)</f>
        <v>0</v>
      </c>
      <c r="AP206">
        <f>IF(AND(AI206=1,AN206&gt;0),AO206/AN206,0)</f>
        <v>0</v>
      </c>
      <c r="AQ206" t="str">
        <f>IF(AI206=1,SUM($AI$5:AI206),"")</f>
        <v/>
      </c>
      <c r="AR206" t="str">
        <f>IF(AI206=1,IF(COUNTIFS($D$5:D206,D206,$AI$5:AI206,1)=1,SUMIFS($AJ$5:$AJ$504,$D$5:$D$504,D206),""),"")</f>
        <v/>
      </c>
      <c r="AS206" t="str">
        <f>IF(AG206=1,WEEKDAY(D206,2),"")</f>
        <v/>
      </c>
      <c r="AT206" s="31" t="str">
        <f>IF(AG206=1,DATE(YEAR(D206),MONTH(D206),1),"")</f>
        <v/>
      </c>
      <c r="AU206">
        <f>IF(AG206=0,0,IF(AND(OR('Prop challenge'!$D$7="",F206='Prop challenge'!$D$7),OR('Prop challenge'!$D$9="",D206&gt;='Prop challenge'!$D$9)),1,0))</f>
        <v>0</v>
      </c>
      <c r="AV206">
        <f>IF(AU206=1,IF(COUNTIFS($D$5:D206,D206,$AU$5:AU206,1)=1,1,0),0)</f>
        <v>0</v>
      </c>
      <c r="AW206" t="str">
        <f>IF(AV206=1,SUM($AV$5:AV206),"")</f>
        <v/>
      </c>
      <c r="AX206" t="str">
        <f>IF(AV206=1,SUMIFS($R$5:$R$504,$D$5:$D$504,D206,$AU$5:$AU$504,1),"")</f>
        <v/>
      </c>
    </row>
    <row r="207">
      <c r="A207" s="20" t="str">
        <f>IF(AG207=1,ROW()-4,"")</f>
        <v/>
      </c>
      <c r="B207" s="21" t="n"/>
      <c r="C207" s="22" t="n"/>
      <c r="D207" s="21" t="n"/>
      <c r="E207" s="22" t="n"/>
      <c r="F207" s="23" t="n"/>
      <c r="G207" s="23" t="n"/>
      <c r="H207" s="23" t="n"/>
      <c r="I207" s="24" t="n"/>
      <c r="J207" s="25" t="n"/>
      <c r="K207" s="25" t="n"/>
      <c r="L207" s="25" t="n"/>
      <c r="M207" s="25" t="n"/>
      <c r="N207" s="26" t="n"/>
      <c r="O207" s="26" t="n"/>
      <c r="P207" s="27" t="str">
        <f>IF(OR(J207="",K207="",I207="",AF207=0,AD207=""),"",(K207-J207)*AF207*I207*AD207*AE207)</f>
        <v/>
      </c>
      <c r="Q207" s="26" t="n"/>
      <c r="R207" s="28" t="str">
        <f>IF(Q207&lt;&gt;"",Q207,IF(P207="","",P207-N(N207)+N(O207)))</f>
        <v/>
      </c>
      <c r="S207" s="27" t="str">
        <f>IF(OR(L207="",J207="",I207="",AD207=""),"",ABS(J207-L207)*I207*AD207*AE207)</f>
        <v/>
      </c>
      <c r="T207" s="29" t="str">
        <f>IF(OR(R207="",S207="",S207=0),"",R207/S207)</f>
        <v/>
      </c>
      <c r="U207" s="20" t="str">
        <f>IF(R207="","",IF(R207&gt;0,"Ganadora",IF(R207&lt;0,"Perdedora","BE")))</f>
        <v/>
      </c>
      <c r="V207" s="23" t="n"/>
      <c r="W207" s="23" t="n"/>
      <c r="X207" s="23" t="n"/>
      <c r="Y207" s="23" t="n"/>
      <c r="Z207" s="23" t="n"/>
      <c r="AA207" s="23" t="n"/>
      <c r="AB207" s="30" t="n"/>
      <c r="AC207" s="1" t="n"/>
      <c r="AD207" s="1" t="str">
        <f>IF(G207="","",IFERROR(INDEX('Listas'!$N$6:$N$35,MATCH(G207,'Listas'!$M$6:$M$35,0)),""))</f>
        <v/>
      </c>
      <c r="AE207">
        <f>IF(G207="",1,IFERROR(INDEX('Listas'!$P$6:$P$35,MATCH(G207,'Listas'!$M$6:$M$35,0)),1))</f>
        <v>1</v>
      </c>
      <c r="AF207">
        <f>IF(H207="Compra",1,IF(H207="Venta",-1,0))</f>
        <v>0</v>
      </c>
      <c r="AG207">
        <f>IF(AND(D207&lt;&gt;"",ISNUMBER(R207)),1,0)</f>
        <v>0</v>
      </c>
      <c r="AH207">
        <f>IF(AG207=0,0,IF(OR('Panel'!$D$5="Todas las cuentas",'Panel'!$D$5="",F207='Panel'!$D$5),1,0))</f>
        <v>0</v>
      </c>
      <c r="AI207">
        <f>IF(AH207=0,0,IF(AND(OR('Panel'!$G$5="",D207&gt;='Panel'!$G$5),OR('Panel'!$J$5="",D207&lt;='Panel'!$J$5)),1,0))</f>
        <v>0</v>
      </c>
      <c r="AJ207">
        <f>IF(AI207=1,R207,0)</f>
        <v>0</v>
      </c>
      <c r="AK207" t="str">
        <f>IF(AI207=1,'Panel'!$AB$4+SUM($AJ$5:AJ207),"")</f>
        <v/>
      </c>
      <c r="AL207">
        <f>IF(AI207=0,N(AL206),IF(R207&lt;0,N(AL206)+1,0))</f>
        <v>1</v>
      </c>
      <c r="AM207">
        <f>IF(AI207=0,N(AM206),IF(R207&gt;0,N(AM206)+1,0))</f>
        <v>0</v>
      </c>
      <c r="AN207">
        <f>IF(AI207=1,MAX('Panel'!$AB$4,N(AN206),AK207),N(AN206))</f>
        <v>21371.061500000033</v>
      </c>
      <c r="AO207">
        <f>IF(AI207=1,AN207-AK207,0)</f>
        <v>0</v>
      </c>
      <c r="AP207">
        <f>IF(AND(AI207=1,AN207&gt;0),AO207/AN207,0)</f>
        <v>0</v>
      </c>
      <c r="AQ207" t="str">
        <f>IF(AI207=1,SUM($AI$5:AI207),"")</f>
        <v/>
      </c>
      <c r="AR207" t="str">
        <f>IF(AI207=1,IF(COUNTIFS($D$5:D207,D207,$AI$5:AI207,1)=1,SUMIFS($AJ$5:$AJ$504,$D$5:$D$504,D207),""),"")</f>
        <v/>
      </c>
      <c r="AS207" t="str">
        <f>IF(AG207=1,WEEKDAY(D207,2),"")</f>
        <v/>
      </c>
      <c r="AT207" s="31" t="str">
        <f>IF(AG207=1,DATE(YEAR(D207),MONTH(D207),1),"")</f>
        <v/>
      </c>
      <c r="AU207">
        <f>IF(AG207=0,0,IF(AND(OR('Prop challenge'!$D$7="",F207='Prop challenge'!$D$7),OR('Prop challenge'!$D$9="",D207&gt;='Prop challenge'!$D$9)),1,0))</f>
        <v>0</v>
      </c>
      <c r="AV207">
        <f>IF(AU207=1,IF(COUNTIFS($D$5:D207,D207,$AU$5:AU207,1)=1,1,0),0)</f>
        <v>0</v>
      </c>
      <c r="AW207" t="str">
        <f>IF(AV207=1,SUM($AV$5:AV207),"")</f>
        <v/>
      </c>
      <c r="AX207" t="str">
        <f>IF(AV207=1,SUMIFS($R$5:$R$504,$D$5:$D$504,D207,$AU$5:$AU$504,1),"")</f>
        <v/>
      </c>
    </row>
    <row r="208">
      <c r="A208" s="20" t="str">
        <f>IF(AG208=1,ROW()-4,"")</f>
        <v/>
      </c>
      <c r="B208" s="21" t="n"/>
      <c r="C208" s="22" t="n"/>
      <c r="D208" s="21" t="n"/>
      <c r="E208" s="22" t="n"/>
      <c r="F208" s="23" t="n"/>
      <c r="G208" s="23" t="n"/>
      <c r="H208" s="23" t="n"/>
      <c r="I208" s="24" t="n"/>
      <c r="J208" s="25" t="n"/>
      <c r="K208" s="25" t="n"/>
      <c r="L208" s="25" t="n"/>
      <c r="M208" s="25" t="n"/>
      <c r="N208" s="26" t="n"/>
      <c r="O208" s="26" t="n"/>
      <c r="P208" s="27" t="str">
        <f>IF(OR(J208="",K208="",I208="",AF208=0,AD208=""),"",(K208-J208)*AF208*I208*AD208*AE208)</f>
        <v/>
      </c>
      <c r="Q208" s="26" t="n"/>
      <c r="R208" s="28" t="str">
        <f>IF(Q208&lt;&gt;"",Q208,IF(P208="","",P208-N(N208)+N(O208)))</f>
        <v/>
      </c>
      <c r="S208" s="27" t="str">
        <f>IF(OR(L208="",J208="",I208="",AD208=""),"",ABS(J208-L208)*I208*AD208*AE208)</f>
        <v/>
      </c>
      <c r="T208" s="29" t="str">
        <f>IF(OR(R208="",S208="",S208=0),"",R208/S208)</f>
        <v/>
      </c>
      <c r="U208" s="20" t="str">
        <f>IF(R208="","",IF(R208&gt;0,"Ganadora",IF(R208&lt;0,"Perdedora","BE")))</f>
        <v/>
      </c>
      <c r="V208" s="23" t="n"/>
      <c r="W208" s="23" t="n"/>
      <c r="X208" s="23" t="n"/>
      <c r="Y208" s="23" t="n"/>
      <c r="Z208" s="23" t="n"/>
      <c r="AA208" s="23" t="n"/>
      <c r="AB208" s="30" t="n"/>
      <c r="AC208" s="1" t="n"/>
      <c r="AD208" s="1" t="str">
        <f>IF(G208="","",IFERROR(INDEX('Listas'!$N$6:$N$35,MATCH(G208,'Listas'!$M$6:$M$35,0)),""))</f>
        <v/>
      </c>
      <c r="AE208">
        <f>IF(G208="",1,IFERROR(INDEX('Listas'!$P$6:$P$35,MATCH(G208,'Listas'!$M$6:$M$35,0)),1))</f>
        <v>1</v>
      </c>
      <c r="AF208">
        <f>IF(H208="Compra",1,IF(H208="Venta",-1,0))</f>
        <v>0</v>
      </c>
      <c r="AG208">
        <f>IF(AND(D208&lt;&gt;"",ISNUMBER(R208)),1,0)</f>
        <v>0</v>
      </c>
      <c r="AH208">
        <f>IF(AG208=0,0,IF(OR('Panel'!$D$5="Todas las cuentas",'Panel'!$D$5="",F208='Panel'!$D$5),1,0))</f>
        <v>0</v>
      </c>
      <c r="AI208">
        <f>IF(AH208=0,0,IF(AND(OR('Panel'!$G$5="",D208&gt;='Panel'!$G$5),OR('Panel'!$J$5="",D208&lt;='Panel'!$J$5)),1,0))</f>
        <v>0</v>
      </c>
      <c r="AJ208">
        <f>IF(AI208=1,R208,0)</f>
        <v>0</v>
      </c>
      <c r="AK208" t="str">
        <f>IF(AI208=1,'Panel'!$AB$4+SUM($AJ$5:AJ208),"")</f>
        <v/>
      </c>
      <c r="AL208">
        <f>IF(AI208=0,N(AL207),IF(R208&lt;0,N(AL207)+1,0))</f>
        <v>1</v>
      </c>
      <c r="AM208">
        <f>IF(AI208=0,N(AM207),IF(R208&gt;0,N(AM207)+1,0))</f>
        <v>0</v>
      </c>
      <c r="AN208">
        <f>IF(AI208=1,MAX('Panel'!$AB$4,N(AN207),AK208),N(AN207))</f>
        <v>21371.061500000033</v>
      </c>
      <c r="AO208">
        <f>IF(AI208=1,AN208-AK208,0)</f>
        <v>0</v>
      </c>
      <c r="AP208">
        <f>IF(AND(AI208=1,AN208&gt;0),AO208/AN208,0)</f>
        <v>0</v>
      </c>
      <c r="AQ208" t="str">
        <f>IF(AI208=1,SUM($AI$5:AI208),"")</f>
        <v/>
      </c>
      <c r="AR208" t="str">
        <f>IF(AI208=1,IF(COUNTIFS($D$5:D208,D208,$AI$5:AI208,1)=1,SUMIFS($AJ$5:$AJ$504,$D$5:$D$504,D208),""),"")</f>
        <v/>
      </c>
      <c r="AS208" t="str">
        <f>IF(AG208=1,WEEKDAY(D208,2),"")</f>
        <v/>
      </c>
      <c r="AT208" s="31" t="str">
        <f>IF(AG208=1,DATE(YEAR(D208),MONTH(D208),1),"")</f>
        <v/>
      </c>
      <c r="AU208">
        <f>IF(AG208=0,0,IF(AND(OR('Prop challenge'!$D$7="",F208='Prop challenge'!$D$7),OR('Prop challenge'!$D$9="",D208&gt;='Prop challenge'!$D$9)),1,0))</f>
        <v>0</v>
      </c>
      <c r="AV208">
        <f>IF(AU208=1,IF(COUNTIFS($D$5:D208,D208,$AU$5:AU208,1)=1,1,0),0)</f>
        <v>0</v>
      </c>
      <c r="AW208" t="str">
        <f>IF(AV208=1,SUM($AV$5:AV208),"")</f>
        <v/>
      </c>
      <c r="AX208" t="str">
        <f>IF(AV208=1,SUMIFS($R$5:$R$504,$D$5:$D$504,D208,$AU$5:$AU$504,1),"")</f>
        <v/>
      </c>
    </row>
    <row r="209">
      <c r="A209" s="20" t="str">
        <f>IF(AG209=1,ROW()-4,"")</f>
        <v/>
      </c>
      <c r="B209" s="21" t="n"/>
      <c r="C209" s="22" t="n"/>
      <c r="D209" s="21" t="n"/>
      <c r="E209" s="22" t="n"/>
      <c r="F209" s="23" t="n"/>
      <c r="G209" s="23" t="n"/>
      <c r="H209" s="23" t="n"/>
      <c r="I209" s="24" t="n"/>
      <c r="J209" s="25" t="n"/>
      <c r="K209" s="25" t="n"/>
      <c r="L209" s="25" t="n"/>
      <c r="M209" s="25" t="n"/>
      <c r="N209" s="26" t="n"/>
      <c r="O209" s="26" t="n"/>
      <c r="P209" s="27" t="str">
        <f>IF(OR(J209="",K209="",I209="",AF209=0,AD209=""),"",(K209-J209)*AF209*I209*AD209*AE209)</f>
        <v/>
      </c>
      <c r="Q209" s="26" t="n"/>
      <c r="R209" s="28" t="str">
        <f>IF(Q209&lt;&gt;"",Q209,IF(P209="","",P209-N(N209)+N(O209)))</f>
        <v/>
      </c>
      <c r="S209" s="27" t="str">
        <f>IF(OR(L209="",J209="",I209="",AD209=""),"",ABS(J209-L209)*I209*AD209*AE209)</f>
        <v/>
      </c>
      <c r="T209" s="29" t="str">
        <f>IF(OR(R209="",S209="",S209=0),"",R209/S209)</f>
        <v/>
      </c>
      <c r="U209" s="20" t="str">
        <f>IF(R209="","",IF(R209&gt;0,"Ganadora",IF(R209&lt;0,"Perdedora","BE")))</f>
        <v/>
      </c>
      <c r="V209" s="23" t="n"/>
      <c r="W209" s="23" t="n"/>
      <c r="X209" s="23" t="n"/>
      <c r="Y209" s="23" t="n"/>
      <c r="Z209" s="23" t="n"/>
      <c r="AA209" s="23" t="n"/>
      <c r="AB209" s="30" t="n"/>
      <c r="AC209" s="1" t="n"/>
      <c r="AD209" s="1" t="str">
        <f>IF(G209="","",IFERROR(INDEX('Listas'!$N$6:$N$35,MATCH(G209,'Listas'!$M$6:$M$35,0)),""))</f>
        <v/>
      </c>
      <c r="AE209">
        <f>IF(G209="",1,IFERROR(INDEX('Listas'!$P$6:$P$35,MATCH(G209,'Listas'!$M$6:$M$35,0)),1))</f>
        <v>1</v>
      </c>
      <c r="AF209">
        <f>IF(H209="Compra",1,IF(H209="Venta",-1,0))</f>
        <v>0</v>
      </c>
      <c r="AG209">
        <f>IF(AND(D209&lt;&gt;"",ISNUMBER(R209)),1,0)</f>
        <v>0</v>
      </c>
      <c r="AH209">
        <f>IF(AG209=0,0,IF(OR('Panel'!$D$5="Todas las cuentas",'Panel'!$D$5="",F209='Panel'!$D$5),1,0))</f>
        <v>0</v>
      </c>
      <c r="AI209">
        <f>IF(AH209=0,0,IF(AND(OR('Panel'!$G$5="",D209&gt;='Panel'!$G$5),OR('Panel'!$J$5="",D209&lt;='Panel'!$J$5)),1,0))</f>
        <v>0</v>
      </c>
      <c r="AJ209">
        <f>IF(AI209=1,R209,0)</f>
        <v>0</v>
      </c>
      <c r="AK209" t="str">
        <f>IF(AI209=1,'Panel'!$AB$4+SUM($AJ$5:AJ209),"")</f>
        <v/>
      </c>
      <c r="AL209">
        <f>IF(AI209=0,N(AL208),IF(R209&lt;0,N(AL208)+1,0))</f>
        <v>1</v>
      </c>
      <c r="AM209">
        <f>IF(AI209=0,N(AM208),IF(R209&gt;0,N(AM208)+1,0))</f>
        <v>0</v>
      </c>
      <c r="AN209">
        <f>IF(AI209=1,MAX('Panel'!$AB$4,N(AN208),AK209),N(AN208))</f>
        <v>21371.061500000033</v>
      </c>
      <c r="AO209">
        <f>IF(AI209=1,AN209-AK209,0)</f>
        <v>0</v>
      </c>
      <c r="AP209">
        <f>IF(AND(AI209=1,AN209&gt;0),AO209/AN209,0)</f>
        <v>0</v>
      </c>
      <c r="AQ209" t="str">
        <f>IF(AI209=1,SUM($AI$5:AI209),"")</f>
        <v/>
      </c>
      <c r="AR209" t="str">
        <f>IF(AI209=1,IF(COUNTIFS($D$5:D209,D209,$AI$5:AI209,1)=1,SUMIFS($AJ$5:$AJ$504,$D$5:$D$504,D209),""),"")</f>
        <v/>
      </c>
      <c r="AS209" t="str">
        <f>IF(AG209=1,WEEKDAY(D209,2),"")</f>
        <v/>
      </c>
      <c r="AT209" s="31" t="str">
        <f>IF(AG209=1,DATE(YEAR(D209),MONTH(D209),1),"")</f>
        <v/>
      </c>
      <c r="AU209">
        <f>IF(AG209=0,0,IF(AND(OR('Prop challenge'!$D$7="",F209='Prop challenge'!$D$7),OR('Prop challenge'!$D$9="",D209&gt;='Prop challenge'!$D$9)),1,0))</f>
        <v>0</v>
      </c>
      <c r="AV209">
        <f>IF(AU209=1,IF(COUNTIFS($D$5:D209,D209,$AU$5:AU209,1)=1,1,0),0)</f>
        <v>0</v>
      </c>
      <c r="AW209" t="str">
        <f>IF(AV209=1,SUM($AV$5:AV209),"")</f>
        <v/>
      </c>
      <c r="AX209" t="str">
        <f>IF(AV209=1,SUMIFS($R$5:$R$504,$D$5:$D$504,D209,$AU$5:$AU$504,1),"")</f>
        <v/>
      </c>
    </row>
    <row r="210">
      <c r="A210" s="20" t="str">
        <f>IF(AG210=1,ROW()-4,"")</f>
        <v/>
      </c>
      <c r="B210" s="21" t="n"/>
      <c r="C210" s="22" t="n"/>
      <c r="D210" s="21" t="n"/>
      <c r="E210" s="22" t="n"/>
      <c r="F210" s="23" t="n"/>
      <c r="G210" s="23" t="n"/>
      <c r="H210" s="23" t="n"/>
      <c r="I210" s="24" t="n"/>
      <c r="J210" s="25" t="n"/>
      <c r="K210" s="25" t="n"/>
      <c r="L210" s="25" t="n"/>
      <c r="M210" s="25" t="n"/>
      <c r="N210" s="26" t="n"/>
      <c r="O210" s="26" t="n"/>
      <c r="P210" s="27" t="str">
        <f>IF(OR(J210="",K210="",I210="",AF210=0,AD210=""),"",(K210-J210)*AF210*I210*AD210*AE210)</f>
        <v/>
      </c>
      <c r="Q210" s="26" t="n"/>
      <c r="R210" s="28" t="str">
        <f>IF(Q210&lt;&gt;"",Q210,IF(P210="","",P210-N(N210)+N(O210)))</f>
        <v/>
      </c>
      <c r="S210" s="27" t="str">
        <f>IF(OR(L210="",J210="",I210="",AD210=""),"",ABS(J210-L210)*I210*AD210*AE210)</f>
        <v/>
      </c>
      <c r="T210" s="29" t="str">
        <f>IF(OR(R210="",S210="",S210=0),"",R210/S210)</f>
        <v/>
      </c>
      <c r="U210" s="20" t="str">
        <f>IF(R210="","",IF(R210&gt;0,"Ganadora",IF(R210&lt;0,"Perdedora","BE")))</f>
        <v/>
      </c>
      <c r="V210" s="23" t="n"/>
      <c r="W210" s="23" t="n"/>
      <c r="X210" s="23" t="n"/>
      <c r="Y210" s="23" t="n"/>
      <c r="Z210" s="23" t="n"/>
      <c r="AA210" s="23" t="n"/>
      <c r="AB210" s="30" t="n"/>
      <c r="AC210" s="1" t="n"/>
      <c r="AD210" s="1" t="str">
        <f>IF(G210="","",IFERROR(INDEX('Listas'!$N$6:$N$35,MATCH(G210,'Listas'!$M$6:$M$35,0)),""))</f>
        <v/>
      </c>
      <c r="AE210">
        <f>IF(G210="",1,IFERROR(INDEX('Listas'!$P$6:$P$35,MATCH(G210,'Listas'!$M$6:$M$35,0)),1))</f>
        <v>1</v>
      </c>
      <c r="AF210">
        <f>IF(H210="Compra",1,IF(H210="Venta",-1,0))</f>
        <v>0</v>
      </c>
      <c r="AG210">
        <f>IF(AND(D210&lt;&gt;"",ISNUMBER(R210)),1,0)</f>
        <v>0</v>
      </c>
      <c r="AH210">
        <f>IF(AG210=0,0,IF(OR('Panel'!$D$5="Todas las cuentas",'Panel'!$D$5="",F210='Panel'!$D$5),1,0))</f>
        <v>0</v>
      </c>
      <c r="AI210">
        <f>IF(AH210=0,0,IF(AND(OR('Panel'!$G$5="",D210&gt;='Panel'!$G$5),OR('Panel'!$J$5="",D210&lt;='Panel'!$J$5)),1,0))</f>
        <v>0</v>
      </c>
      <c r="AJ210">
        <f>IF(AI210=1,R210,0)</f>
        <v>0</v>
      </c>
      <c r="AK210" t="str">
        <f>IF(AI210=1,'Panel'!$AB$4+SUM($AJ$5:AJ210),"")</f>
        <v/>
      </c>
      <c r="AL210">
        <f>IF(AI210=0,N(AL209),IF(R210&lt;0,N(AL209)+1,0))</f>
        <v>1</v>
      </c>
      <c r="AM210">
        <f>IF(AI210=0,N(AM209),IF(R210&gt;0,N(AM209)+1,0))</f>
        <v>0</v>
      </c>
      <c r="AN210">
        <f>IF(AI210=1,MAX('Panel'!$AB$4,N(AN209),AK210),N(AN209))</f>
        <v>21371.061500000033</v>
      </c>
      <c r="AO210">
        <f>IF(AI210=1,AN210-AK210,0)</f>
        <v>0</v>
      </c>
      <c r="AP210">
        <f>IF(AND(AI210=1,AN210&gt;0),AO210/AN210,0)</f>
        <v>0</v>
      </c>
      <c r="AQ210" t="str">
        <f>IF(AI210=1,SUM($AI$5:AI210),"")</f>
        <v/>
      </c>
      <c r="AR210" t="str">
        <f>IF(AI210=1,IF(COUNTIFS($D$5:D210,D210,$AI$5:AI210,1)=1,SUMIFS($AJ$5:$AJ$504,$D$5:$D$504,D210),""),"")</f>
        <v/>
      </c>
      <c r="AS210" t="str">
        <f>IF(AG210=1,WEEKDAY(D210,2),"")</f>
        <v/>
      </c>
      <c r="AT210" s="31" t="str">
        <f>IF(AG210=1,DATE(YEAR(D210),MONTH(D210),1),"")</f>
        <v/>
      </c>
      <c r="AU210">
        <f>IF(AG210=0,0,IF(AND(OR('Prop challenge'!$D$7="",F210='Prop challenge'!$D$7),OR('Prop challenge'!$D$9="",D210&gt;='Prop challenge'!$D$9)),1,0))</f>
        <v>0</v>
      </c>
      <c r="AV210">
        <f>IF(AU210=1,IF(COUNTIFS($D$5:D210,D210,$AU$5:AU210,1)=1,1,0),0)</f>
        <v>0</v>
      </c>
      <c r="AW210" t="str">
        <f>IF(AV210=1,SUM($AV$5:AV210),"")</f>
        <v/>
      </c>
      <c r="AX210" t="str">
        <f>IF(AV210=1,SUMIFS($R$5:$R$504,$D$5:$D$504,D210,$AU$5:$AU$504,1),"")</f>
        <v/>
      </c>
    </row>
    <row r="211">
      <c r="A211" s="20" t="str">
        <f>IF(AG211=1,ROW()-4,"")</f>
        <v/>
      </c>
      <c r="B211" s="21" t="n"/>
      <c r="C211" s="22" t="n"/>
      <c r="D211" s="21" t="n"/>
      <c r="E211" s="22" t="n"/>
      <c r="F211" s="23" t="n"/>
      <c r="G211" s="23" t="n"/>
      <c r="H211" s="23" t="n"/>
      <c r="I211" s="24" t="n"/>
      <c r="J211" s="25" t="n"/>
      <c r="K211" s="25" t="n"/>
      <c r="L211" s="25" t="n"/>
      <c r="M211" s="25" t="n"/>
      <c r="N211" s="26" t="n"/>
      <c r="O211" s="26" t="n"/>
      <c r="P211" s="27" t="str">
        <f>IF(OR(J211="",K211="",I211="",AF211=0,AD211=""),"",(K211-J211)*AF211*I211*AD211*AE211)</f>
        <v/>
      </c>
      <c r="Q211" s="26" t="n"/>
      <c r="R211" s="28" t="str">
        <f>IF(Q211&lt;&gt;"",Q211,IF(P211="","",P211-N(N211)+N(O211)))</f>
        <v/>
      </c>
      <c r="S211" s="27" t="str">
        <f>IF(OR(L211="",J211="",I211="",AD211=""),"",ABS(J211-L211)*I211*AD211*AE211)</f>
        <v/>
      </c>
      <c r="T211" s="29" t="str">
        <f>IF(OR(R211="",S211="",S211=0),"",R211/S211)</f>
        <v/>
      </c>
      <c r="U211" s="20" t="str">
        <f>IF(R211="","",IF(R211&gt;0,"Ganadora",IF(R211&lt;0,"Perdedora","BE")))</f>
        <v/>
      </c>
      <c r="V211" s="23" t="n"/>
      <c r="W211" s="23" t="n"/>
      <c r="X211" s="23" t="n"/>
      <c r="Y211" s="23" t="n"/>
      <c r="Z211" s="23" t="n"/>
      <c r="AA211" s="23" t="n"/>
      <c r="AB211" s="30" t="n"/>
      <c r="AC211" s="1" t="n"/>
      <c r="AD211" s="1" t="str">
        <f>IF(G211="","",IFERROR(INDEX('Listas'!$N$6:$N$35,MATCH(G211,'Listas'!$M$6:$M$35,0)),""))</f>
        <v/>
      </c>
      <c r="AE211">
        <f>IF(G211="",1,IFERROR(INDEX('Listas'!$P$6:$P$35,MATCH(G211,'Listas'!$M$6:$M$35,0)),1))</f>
        <v>1</v>
      </c>
      <c r="AF211">
        <f>IF(H211="Compra",1,IF(H211="Venta",-1,0))</f>
        <v>0</v>
      </c>
      <c r="AG211">
        <f>IF(AND(D211&lt;&gt;"",ISNUMBER(R211)),1,0)</f>
        <v>0</v>
      </c>
      <c r="AH211">
        <f>IF(AG211=0,0,IF(OR('Panel'!$D$5="Todas las cuentas",'Panel'!$D$5="",F211='Panel'!$D$5),1,0))</f>
        <v>0</v>
      </c>
      <c r="AI211">
        <f>IF(AH211=0,0,IF(AND(OR('Panel'!$G$5="",D211&gt;='Panel'!$G$5),OR('Panel'!$J$5="",D211&lt;='Panel'!$J$5)),1,0))</f>
        <v>0</v>
      </c>
      <c r="AJ211">
        <f>IF(AI211=1,R211,0)</f>
        <v>0</v>
      </c>
      <c r="AK211" t="str">
        <f>IF(AI211=1,'Panel'!$AB$4+SUM($AJ$5:AJ211),"")</f>
        <v/>
      </c>
      <c r="AL211">
        <f>IF(AI211=0,N(AL210),IF(R211&lt;0,N(AL210)+1,0))</f>
        <v>1</v>
      </c>
      <c r="AM211">
        <f>IF(AI211=0,N(AM210),IF(R211&gt;0,N(AM210)+1,0))</f>
        <v>0</v>
      </c>
      <c r="AN211">
        <f>IF(AI211=1,MAX('Panel'!$AB$4,N(AN210),AK211),N(AN210))</f>
        <v>21371.061500000033</v>
      </c>
      <c r="AO211">
        <f>IF(AI211=1,AN211-AK211,0)</f>
        <v>0</v>
      </c>
      <c r="AP211">
        <f>IF(AND(AI211=1,AN211&gt;0),AO211/AN211,0)</f>
        <v>0</v>
      </c>
      <c r="AQ211" t="str">
        <f>IF(AI211=1,SUM($AI$5:AI211),"")</f>
        <v/>
      </c>
      <c r="AR211" t="str">
        <f>IF(AI211=1,IF(COUNTIFS($D$5:D211,D211,$AI$5:AI211,1)=1,SUMIFS($AJ$5:$AJ$504,$D$5:$D$504,D211),""),"")</f>
        <v/>
      </c>
      <c r="AS211" t="str">
        <f>IF(AG211=1,WEEKDAY(D211,2),"")</f>
        <v/>
      </c>
      <c r="AT211" s="31" t="str">
        <f>IF(AG211=1,DATE(YEAR(D211),MONTH(D211),1),"")</f>
        <v/>
      </c>
      <c r="AU211">
        <f>IF(AG211=0,0,IF(AND(OR('Prop challenge'!$D$7="",F211='Prop challenge'!$D$7),OR('Prop challenge'!$D$9="",D211&gt;='Prop challenge'!$D$9)),1,0))</f>
        <v>0</v>
      </c>
      <c r="AV211">
        <f>IF(AU211=1,IF(COUNTIFS($D$5:D211,D211,$AU$5:AU211,1)=1,1,0),0)</f>
        <v>0</v>
      </c>
      <c r="AW211" t="str">
        <f>IF(AV211=1,SUM($AV$5:AV211),"")</f>
        <v/>
      </c>
      <c r="AX211" t="str">
        <f>IF(AV211=1,SUMIFS($R$5:$R$504,$D$5:$D$504,D211,$AU$5:$AU$504,1),"")</f>
        <v/>
      </c>
    </row>
    <row r="212">
      <c r="A212" s="20" t="str">
        <f>IF(AG212=1,ROW()-4,"")</f>
        <v/>
      </c>
      <c r="B212" s="21" t="n"/>
      <c r="C212" s="22" t="n"/>
      <c r="D212" s="21" t="n"/>
      <c r="E212" s="22" t="n"/>
      <c r="F212" s="23" t="n"/>
      <c r="G212" s="23" t="n"/>
      <c r="H212" s="23" t="n"/>
      <c r="I212" s="24" t="n"/>
      <c r="J212" s="25" t="n"/>
      <c r="K212" s="25" t="n"/>
      <c r="L212" s="25" t="n"/>
      <c r="M212" s="25" t="n"/>
      <c r="N212" s="26" t="n"/>
      <c r="O212" s="26" t="n"/>
      <c r="P212" s="27" t="str">
        <f>IF(OR(J212="",K212="",I212="",AF212=0,AD212=""),"",(K212-J212)*AF212*I212*AD212*AE212)</f>
        <v/>
      </c>
      <c r="Q212" s="26" t="n"/>
      <c r="R212" s="28" t="str">
        <f>IF(Q212&lt;&gt;"",Q212,IF(P212="","",P212-N(N212)+N(O212)))</f>
        <v/>
      </c>
      <c r="S212" s="27" t="str">
        <f>IF(OR(L212="",J212="",I212="",AD212=""),"",ABS(J212-L212)*I212*AD212*AE212)</f>
        <v/>
      </c>
      <c r="T212" s="29" t="str">
        <f>IF(OR(R212="",S212="",S212=0),"",R212/S212)</f>
        <v/>
      </c>
      <c r="U212" s="20" t="str">
        <f>IF(R212="","",IF(R212&gt;0,"Ganadora",IF(R212&lt;0,"Perdedora","BE")))</f>
        <v/>
      </c>
      <c r="V212" s="23" t="n"/>
      <c r="W212" s="23" t="n"/>
      <c r="X212" s="23" t="n"/>
      <c r="Y212" s="23" t="n"/>
      <c r="Z212" s="23" t="n"/>
      <c r="AA212" s="23" t="n"/>
      <c r="AB212" s="30" t="n"/>
      <c r="AC212" s="1" t="n"/>
      <c r="AD212" s="1" t="str">
        <f>IF(G212="","",IFERROR(INDEX('Listas'!$N$6:$N$35,MATCH(G212,'Listas'!$M$6:$M$35,0)),""))</f>
        <v/>
      </c>
      <c r="AE212">
        <f>IF(G212="",1,IFERROR(INDEX('Listas'!$P$6:$P$35,MATCH(G212,'Listas'!$M$6:$M$35,0)),1))</f>
        <v>1</v>
      </c>
      <c r="AF212">
        <f>IF(H212="Compra",1,IF(H212="Venta",-1,0))</f>
        <v>0</v>
      </c>
      <c r="AG212">
        <f>IF(AND(D212&lt;&gt;"",ISNUMBER(R212)),1,0)</f>
        <v>0</v>
      </c>
      <c r="AH212">
        <f>IF(AG212=0,0,IF(OR('Panel'!$D$5="Todas las cuentas",'Panel'!$D$5="",F212='Panel'!$D$5),1,0))</f>
        <v>0</v>
      </c>
      <c r="AI212">
        <f>IF(AH212=0,0,IF(AND(OR('Panel'!$G$5="",D212&gt;='Panel'!$G$5),OR('Panel'!$J$5="",D212&lt;='Panel'!$J$5)),1,0))</f>
        <v>0</v>
      </c>
      <c r="AJ212">
        <f>IF(AI212=1,R212,0)</f>
        <v>0</v>
      </c>
      <c r="AK212" t="str">
        <f>IF(AI212=1,'Panel'!$AB$4+SUM($AJ$5:AJ212),"")</f>
        <v/>
      </c>
      <c r="AL212">
        <f>IF(AI212=0,N(AL211),IF(R212&lt;0,N(AL211)+1,0))</f>
        <v>1</v>
      </c>
      <c r="AM212">
        <f>IF(AI212=0,N(AM211),IF(R212&gt;0,N(AM211)+1,0))</f>
        <v>0</v>
      </c>
      <c r="AN212">
        <f>IF(AI212=1,MAX('Panel'!$AB$4,N(AN211),AK212),N(AN211))</f>
        <v>21371.061500000033</v>
      </c>
      <c r="AO212">
        <f>IF(AI212=1,AN212-AK212,0)</f>
        <v>0</v>
      </c>
      <c r="AP212">
        <f>IF(AND(AI212=1,AN212&gt;0),AO212/AN212,0)</f>
        <v>0</v>
      </c>
      <c r="AQ212" t="str">
        <f>IF(AI212=1,SUM($AI$5:AI212),"")</f>
        <v/>
      </c>
      <c r="AR212" t="str">
        <f>IF(AI212=1,IF(COUNTIFS($D$5:D212,D212,$AI$5:AI212,1)=1,SUMIFS($AJ$5:$AJ$504,$D$5:$D$504,D212),""),"")</f>
        <v/>
      </c>
      <c r="AS212" t="str">
        <f>IF(AG212=1,WEEKDAY(D212,2),"")</f>
        <v/>
      </c>
      <c r="AT212" s="31" t="str">
        <f>IF(AG212=1,DATE(YEAR(D212),MONTH(D212),1),"")</f>
        <v/>
      </c>
      <c r="AU212">
        <f>IF(AG212=0,0,IF(AND(OR('Prop challenge'!$D$7="",F212='Prop challenge'!$D$7),OR('Prop challenge'!$D$9="",D212&gt;='Prop challenge'!$D$9)),1,0))</f>
        <v>0</v>
      </c>
      <c r="AV212">
        <f>IF(AU212=1,IF(COUNTIFS($D$5:D212,D212,$AU$5:AU212,1)=1,1,0),0)</f>
        <v>0</v>
      </c>
      <c r="AW212" t="str">
        <f>IF(AV212=1,SUM($AV$5:AV212),"")</f>
        <v/>
      </c>
      <c r="AX212" t="str">
        <f>IF(AV212=1,SUMIFS($R$5:$R$504,$D$5:$D$504,D212,$AU$5:$AU$504,1),"")</f>
        <v/>
      </c>
    </row>
    <row r="213">
      <c r="A213" s="20" t="str">
        <f>IF(AG213=1,ROW()-4,"")</f>
        <v/>
      </c>
      <c r="B213" s="21" t="n"/>
      <c r="C213" s="22" t="n"/>
      <c r="D213" s="21" t="n"/>
      <c r="E213" s="22" t="n"/>
      <c r="F213" s="23" t="n"/>
      <c r="G213" s="23" t="n"/>
      <c r="H213" s="23" t="n"/>
      <c r="I213" s="24" t="n"/>
      <c r="J213" s="25" t="n"/>
      <c r="K213" s="25" t="n"/>
      <c r="L213" s="25" t="n"/>
      <c r="M213" s="25" t="n"/>
      <c r="N213" s="26" t="n"/>
      <c r="O213" s="26" t="n"/>
      <c r="P213" s="27" t="str">
        <f>IF(OR(J213="",K213="",I213="",AF213=0,AD213=""),"",(K213-J213)*AF213*I213*AD213*AE213)</f>
        <v/>
      </c>
      <c r="Q213" s="26" t="n"/>
      <c r="R213" s="28" t="str">
        <f>IF(Q213&lt;&gt;"",Q213,IF(P213="","",P213-N(N213)+N(O213)))</f>
        <v/>
      </c>
      <c r="S213" s="27" t="str">
        <f>IF(OR(L213="",J213="",I213="",AD213=""),"",ABS(J213-L213)*I213*AD213*AE213)</f>
        <v/>
      </c>
      <c r="T213" s="29" t="str">
        <f>IF(OR(R213="",S213="",S213=0),"",R213/S213)</f>
        <v/>
      </c>
      <c r="U213" s="20" t="str">
        <f>IF(R213="","",IF(R213&gt;0,"Ganadora",IF(R213&lt;0,"Perdedora","BE")))</f>
        <v/>
      </c>
      <c r="V213" s="23" t="n"/>
      <c r="W213" s="23" t="n"/>
      <c r="X213" s="23" t="n"/>
      <c r="Y213" s="23" t="n"/>
      <c r="Z213" s="23" t="n"/>
      <c r="AA213" s="23" t="n"/>
      <c r="AB213" s="30" t="n"/>
      <c r="AC213" s="1" t="n"/>
      <c r="AD213" s="1" t="str">
        <f>IF(G213="","",IFERROR(INDEX('Listas'!$N$6:$N$35,MATCH(G213,'Listas'!$M$6:$M$35,0)),""))</f>
        <v/>
      </c>
      <c r="AE213">
        <f>IF(G213="",1,IFERROR(INDEX('Listas'!$P$6:$P$35,MATCH(G213,'Listas'!$M$6:$M$35,0)),1))</f>
        <v>1</v>
      </c>
      <c r="AF213">
        <f>IF(H213="Compra",1,IF(H213="Venta",-1,0))</f>
        <v>0</v>
      </c>
      <c r="AG213">
        <f>IF(AND(D213&lt;&gt;"",ISNUMBER(R213)),1,0)</f>
        <v>0</v>
      </c>
      <c r="AH213">
        <f>IF(AG213=0,0,IF(OR('Panel'!$D$5="Todas las cuentas",'Panel'!$D$5="",F213='Panel'!$D$5),1,0))</f>
        <v>0</v>
      </c>
      <c r="AI213">
        <f>IF(AH213=0,0,IF(AND(OR('Panel'!$G$5="",D213&gt;='Panel'!$G$5),OR('Panel'!$J$5="",D213&lt;='Panel'!$J$5)),1,0))</f>
        <v>0</v>
      </c>
      <c r="AJ213">
        <f>IF(AI213=1,R213,0)</f>
        <v>0</v>
      </c>
      <c r="AK213" t="str">
        <f>IF(AI213=1,'Panel'!$AB$4+SUM($AJ$5:AJ213),"")</f>
        <v/>
      </c>
      <c r="AL213">
        <f>IF(AI213=0,N(AL212),IF(R213&lt;0,N(AL212)+1,0))</f>
        <v>1</v>
      </c>
      <c r="AM213">
        <f>IF(AI213=0,N(AM212),IF(R213&gt;0,N(AM212)+1,0))</f>
        <v>0</v>
      </c>
      <c r="AN213">
        <f>IF(AI213=1,MAX('Panel'!$AB$4,N(AN212),AK213),N(AN212))</f>
        <v>21371.061500000033</v>
      </c>
      <c r="AO213">
        <f>IF(AI213=1,AN213-AK213,0)</f>
        <v>0</v>
      </c>
      <c r="AP213">
        <f>IF(AND(AI213=1,AN213&gt;0),AO213/AN213,0)</f>
        <v>0</v>
      </c>
      <c r="AQ213" t="str">
        <f>IF(AI213=1,SUM($AI$5:AI213),"")</f>
        <v/>
      </c>
      <c r="AR213" t="str">
        <f>IF(AI213=1,IF(COUNTIFS($D$5:D213,D213,$AI$5:AI213,1)=1,SUMIFS($AJ$5:$AJ$504,$D$5:$D$504,D213),""),"")</f>
        <v/>
      </c>
      <c r="AS213" t="str">
        <f>IF(AG213=1,WEEKDAY(D213,2),"")</f>
        <v/>
      </c>
      <c r="AT213" s="31" t="str">
        <f>IF(AG213=1,DATE(YEAR(D213),MONTH(D213),1),"")</f>
        <v/>
      </c>
      <c r="AU213">
        <f>IF(AG213=0,0,IF(AND(OR('Prop challenge'!$D$7="",F213='Prop challenge'!$D$7),OR('Prop challenge'!$D$9="",D213&gt;='Prop challenge'!$D$9)),1,0))</f>
        <v>0</v>
      </c>
      <c r="AV213">
        <f>IF(AU213=1,IF(COUNTIFS($D$5:D213,D213,$AU$5:AU213,1)=1,1,0),0)</f>
        <v>0</v>
      </c>
      <c r="AW213" t="str">
        <f>IF(AV213=1,SUM($AV$5:AV213),"")</f>
        <v/>
      </c>
      <c r="AX213" t="str">
        <f>IF(AV213=1,SUMIFS($R$5:$R$504,$D$5:$D$504,D213,$AU$5:$AU$504,1),"")</f>
        <v/>
      </c>
    </row>
    <row r="214">
      <c r="A214" s="20" t="str">
        <f>IF(AG214=1,ROW()-4,"")</f>
        <v/>
      </c>
      <c r="B214" s="21" t="n"/>
      <c r="C214" s="22" t="n"/>
      <c r="D214" s="21" t="n"/>
      <c r="E214" s="22" t="n"/>
      <c r="F214" s="23" t="n"/>
      <c r="G214" s="23" t="n"/>
      <c r="H214" s="23" t="n"/>
      <c r="I214" s="24" t="n"/>
      <c r="J214" s="25" t="n"/>
      <c r="K214" s="25" t="n"/>
      <c r="L214" s="25" t="n"/>
      <c r="M214" s="25" t="n"/>
      <c r="N214" s="26" t="n"/>
      <c r="O214" s="26" t="n"/>
      <c r="P214" s="27" t="str">
        <f>IF(OR(J214="",K214="",I214="",AF214=0,AD214=""),"",(K214-J214)*AF214*I214*AD214*AE214)</f>
        <v/>
      </c>
      <c r="Q214" s="26" t="n"/>
      <c r="R214" s="28" t="str">
        <f>IF(Q214&lt;&gt;"",Q214,IF(P214="","",P214-N(N214)+N(O214)))</f>
        <v/>
      </c>
      <c r="S214" s="27" t="str">
        <f>IF(OR(L214="",J214="",I214="",AD214=""),"",ABS(J214-L214)*I214*AD214*AE214)</f>
        <v/>
      </c>
      <c r="T214" s="29" t="str">
        <f>IF(OR(R214="",S214="",S214=0),"",R214/S214)</f>
        <v/>
      </c>
      <c r="U214" s="20" t="str">
        <f>IF(R214="","",IF(R214&gt;0,"Ganadora",IF(R214&lt;0,"Perdedora","BE")))</f>
        <v/>
      </c>
      <c r="V214" s="23" t="n"/>
      <c r="W214" s="23" t="n"/>
      <c r="X214" s="23" t="n"/>
      <c r="Y214" s="23" t="n"/>
      <c r="Z214" s="23" t="n"/>
      <c r="AA214" s="23" t="n"/>
      <c r="AB214" s="30" t="n"/>
      <c r="AC214" s="1" t="n"/>
      <c r="AD214" s="1" t="str">
        <f>IF(G214="","",IFERROR(INDEX('Listas'!$N$6:$N$35,MATCH(G214,'Listas'!$M$6:$M$35,0)),""))</f>
        <v/>
      </c>
      <c r="AE214">
        <f>IF(G214="",1,IFERROR(INDEX('Listas'!$P$6:$P$35,MATCH(G214,'Listas'!$M$6:$M$35,0)),1))</f>
        <v>1</v>
      </c>
      <c r="AF214">
        <f>IF(H214="Compra",1,IF(H214="Venta",-1,0))</f>
        <v>0</v>
      </c>
      <c r="AG214">
        <f>IF(AND(D214&lt;&gt;"",ISNUMBER(R214)),1,0)</f>
        <v>0</v>
      </c>
      <c r="AH214">
        <f>IF(AG214=0,0,IF(OR('Panel'!$D$5="Todas las cuentas",'Panel'!$D$5="",F214='Panel'!$D$5),1,0))</f>
        <v>0</v>
      </c>
      <c r="AI214">
        <f>IF(AH214=0,0,IF(AND(OR('Panel'!$G$5="",D214&gt;='Panel'!$G$5),OR('Panel'!$J$5="",D214&lt;='Panel'!$J$5)),1,0))</f>
        <v>0</v>
      </c>
      <c r="AJ214">
        <f>IF(AI214=1,R214,0)</f>
        <v>0</v>
      </c>
      <c r="AK214" t="str">
        <f>IF(AI214=1,'Panel'!$AB$4+SUM($AJ$5:AJ214),"")</f>
        <v/>
      </c>
      <c r="AL214">
        <f>IF(AI214=0,N(AL213),IF(R214&lt;0,N(AL213)+1,0))</f>
        <v>1</v>
      </c>
      <c r="AM214">
        <f>IF(AI214=0,N(AM213),IF(R214&gt;0,N(AM213)+1,0))</f>
        <v>0</v>
      </c>
      <c r="AN214">
        <f>IF(AI214=1,MAX('Panel'!$AB$4,N(AN213),AK214),N(AN213))</f>
        <v>21371.061500000033</v>
      </c>
      <c r="AO214">
        <f>IF(AI214=1,AN214-AK214,0)</f>
        <v>0</v>
      </c>
      <c r="AP214">
        <f>IF(AND(AI214=1,AN214&gt;0),AO214/AN214,0)</f>
        <v>0</v>
      </c>
      <c r="AQ214" t="str">
        <f>IF(AI214=1,SUM($AI$5:AI214),"")</f>
        <v/>
      </c>
      <c r="AR214" t="str">
        <f>IF(AI214=1,IF(COUNTIFS($D$5:D214,D214,$AI$5:AI214,1)=1,SUMIFS($AJ$5:$AJ$504,$D$5:$D$504,D214),""),"")</f>
        <v/>
      </c>
      <c r="AS214" t="str">
        <f>IF(AG214=1,WEEKDAY(D214,2),"")</f>
        <v/>
      </c>
      <c r="AT214" s="31" t="str">
        <f>IF(AG214=1,DATE(YEAR(D214),MONTH(D214),1),"")</f>
        <v/>
      </c>
      <c r="AU214">
        <f>IF(AG214=0,0,IF(AND(OR('Prop challenge'!$D$7="",F214='Prop challenge'!$D$7),OR('Prop challenge'!$D$9="",D214&gt;='Prop challenge'!$D$9)),1,0))</f>
        <v>0</v>
      </c>
      <c r="AV214">
        <f>IF(AU214=1,IF(COUNTIFS($D$5:D214,D214,$AU$5:AU214,1)=1,1,0),0)</f>
        <v>0</v>
      </c>
      <c r="AW214" t="str">
        <f>IF(AV214=1,SUM($AV$5:AV214),"")</f>
        <v/>
      </c>
      <c r="AX214" t="str">
        <f>IF(AV214=1,SUMIFS($R$5:$R$504,$D$5:$D$504,D214,$AU$5:$AU$504,1),"")</f>
        <v/>
      </c>
    </row>
    <row r="215">
      <c r="A215" s="20" t="str">
        <f>IF(AG215=1,ROW()-4,"")</f>
        <v/>
      </c>
      <c r="B215" s="21" t="n"/>
      <c r="C215" s="22" t="n"/>
      <c r="D215" s="21" t="n"/>
      <c r="E215" s="22" t="n"/>
      <c r="F215" s="23" t="n"/>
      <c r="G215" s="23" t="n"/>
      <c r="H215" s="23" t="n"/>
      <c r="I215" s="24" t="n"/>
      <c r="J215" s="25" t="n"/>
      <c r="K215" s="25" t="n"/>
      <c r="L215" s="25" t="n"/>
      <c r="M215" s="25" t="n"/>
      <c r="N215" s="26" t="n"/>
      <c r="O215" s="26" t="n"/>
      <c r="P215" s="27" t="str">
        <f>IF(OR(J215="",K215="",I215="",AF215=0,AD215=""),"",(K215-J215)*AF215*I215*AD215*AE215)</f>
        <v/>
      </c>
      <c r="Q215" s="26" t="n"/>
      <c r="R215" s="28" t="str">
        <f>IF(Q215&lt;&gt;"",Q215,IF(P215="","",P215-N(N215)+N(O215)))</f>
        <v/>
      </c>
      <c r="S215" s="27" t="str">
        <f>IF(OR(L215="",J215="",I215="",AD215=""),"",ABS(J215-L215)*I215*AD215*AE215)</f>
        <v/>
      </c>
      <c r="T215" s="29" t="str">
        <f>IF(OR(R215="",S215="",S215=0),"",R215/S215)</f>
        <v/>
      </c>
      <c r="U215" s="20" t="str">
        <f>IF(R215="","",IF(R215&gt;0,"Ganadora",IF(R215&lt;0,"Perdedora","BE")))</f>
        <v/>
      </c>
      <c r="V215" s="23" t="n"/>
      <c r="W215" s="23" t="n"/>
      <c r="X215" s="23" t="n"/>
      <c r="Y215" s="23" t="n"/>
      <c r="Z215" s="23" t="n"/>
      <c r="AA215" s="23" t="n"/>
      <c r="AB215" s="30" t="n"/>
      <c r="AC215" s="1" t="n"/>
      <c r="AD215" s="1" t="str">
        <f>IF(G215="","",IFERROR(INDEX('Listas'!$N$6:$N$35,MATCH(G215,'Listas'!$M$6:$M$35,0)),""))</f>
        <v/>
      </c>
      <c r="AE215">
        <f>IF(G215="",1,IFERROR(INDEX('Listas'!$P$6:$P$35,MATCH(G215,'Listas'!$M$6:$M$35,0)),1))</f>
        <v>1</v>
      </c>
      <c r="AF215">
        <f>IF(H215="Compra",1,IF(H215="Venta",-1,0))</f>
        <v>0</v>
      </c>
      <c r="AG215">
        <f>IF(AND(D215&lt;&gt;"",ISNUMBER(R215)),1,0)</f>
        <v>0</v>
      </c>
      <c r="AH215">
        <f>IF(AG215=0,0,IF(OR('Panel'!$D$5="Todas las cuentas",'Panel'!$D$5="",F215='Panel'!$D$5),1,0))</f>
        <v>0</v>
      </c>
      <c r="AI215">
        <f>IF(AH215=0,0,IF(AND(OR('Panel'!$G$5="",D215&gt;='Panel'!$G$5),OR('Panel'!$J$5="",D215&lt;='Panel'!$J$5)),1,0))</f>
        <v>0</v>
      </c>
      <c r="AJ215">
        <f>IF(AI215=1,R215,0)</f>
        <v>0</v>
      </c>
      <c r="AK215" t="str">
        <f>IF(AI215=1,'Panel'!$AB$4+SUM($AJ$5:AJ215),"")</f>
        <v/>
      </c>
      <c r="AL215">
        <f>IF(AI215=0,N(AL214),IF(R215&lt;0,N(AL214)+1,0))</f>
        <v>1</v>
      </c>
      <c r="AM215">
        <f>IF(AI215=0,N(AM214),IF(R215&gt;0,N(AM214)+1,0))</f>
        <v>0</v>
      </c>
      <c r="AN215">
        <f>IF(AI215=1,MAX('Panel'!$AB$4,N(AN214),AK215),N(AN214))</f>
        <v>21371.061500000033</v>
      </c>
      <c r="AO215">
        <f>IF(AI215=1,AN215-AK215,0)</f>
        <v>0</v>
      </c>
      <c r="AP215">
        <f>IF(AND(AI215=1,AN215&gt;0),AO215/AN215,0)</f>
        <v>0</v>
      </c>
      <c r="AQ215" t="str">
        <f>IF(AI215=1,SUM($AI$5:AI215),"")</f>
        <v/>
      </c>
      <c r="AR215" t="str">
        <f>IF(AI215=1,IF(COUNTIFS($D$5:D215,D215,$AI$5:AI215,1)=1,SUMIFS($AJ$5:$AJ$504,$D$5:$D$504,D215),""),"")</f>
        <v/>
      </c>
      <c r="AS215" t="str">
        <f>IF(AG215=1,WEEKDAY(D215,2),"")</f>
        <v/>
      </c>
      <c r="AT215" s="31" t="str">
        <f>IF(AG215=1,DATE(YEAR(D215),MONTH(D215),1),"")</f>
        <v/>
      </c>
      <c r="AU215">
        <f>IF(AG215=0,0,IF(AND(OR('Prop challenge'!$D$7="",F215='Prop challenge'!$D$7),OR('Prop challenge'!$D$9="",D215&gt;='Prop challenge'!$D$9)),1,0))</f>
        <v>0</v>
      </c>
      <c r="AV215">
        <f>IF(AU215=1,IF(COUNTIFS($D$5:D215,D215,$AU$5:AU215,1)=1,1,0),0)</f>
        <v>0</v>
      </c>
      <c r="AW215" t="str">
        <f>IF(AV215=1,SUM($AV$5:AV215),"")</f>
        <v/>
      </c>
      <c r="AX215" t="str">
        <f>IF(AV215=1,SUMIFS($R$5:$R$504,$D$5:$D$504,D215,$AU$5:$AU$504,1),"")</f>
        <v/>
      </c>
    </row>
    <row r="216">
      <c r="A216" s="20" t="str">
        <f>IF(AG216=1,ROW()-4,"")</f>
        <v/>
      </c>
      <c r="B216" s="21" t="n"/>
      <c r="C216" s="22" t="n"/>
      <c r="D216" s="21" t="n"/>
      <c r="E216" s="22" t="n"/>
      <c r="F216" s="23" t="n"/>
      <c r="G216" s="23" t="n"/>
      <c r="H216" s="23" t="n"/>
      <c r="I216" s="24" t="n"/>
      <c r="J216" s="25" t="n"/>
      <c r="K216" s="25" t="n"/>
      <c r="L216" s="25" t="n"/>
      <c r="M216" s="25" t="n"/>
      <c r="N216" s="26" t="n"/>
      <c r="O216" s="26" t="n"/>
      <c r="P216" s="27" t="str">
        <f>IF(OR(J216="",K216="",I216="",AF216=0,AD216=""),"",(K216-J216)*AF216*I216*AD216*AE216)</f>
        <v/>
      </c>
      <c r="Q216" s="26" t="n"/>
      <c r="R216" s="28" t="str">
        <f>IF(Q216&lt;&gt;"",Q216,IF(P216="","",P216-N(N216)+N(O216)))</f>
        <v/>
      </c>
      <c r="S216" s="27" t="str">
        <f>IF(OR(L216="",J216="",I216="",AD216=""),"",ABS(J216-L216)*I216*AD216*AE216)</f>
        <v/>
      </c>
      <c r="T216" s="29" t="str">
        <f>IF(OR(R216="",S216="",S216=0),"",R216/S216)</f>
        <v/>
      </c>
      <c r="U216" s="20" t="str">
        <f>IF(R216="","",IF(R216&gt;0,"Ganadora",IF(R216&lt;0,"Perdedora","BE")))</f>
        <v/>
      </c>
      <c r="V216" s="23" t="n"/>
      <c r="W216" s="23" t="n"/>
      <c r="X216" s="23" t="n"/>
      <c r="Y216" s="23" t="n"/>
      <c r="Z216" s="23" t="n"/>
      <c r="AA216" s="23" t="n"/>
      <c r="AB216" s="30" t="n"/>
      <c r="AC216" s="1" t="n"/>
      <c r="AD216" s="1" t="str">
        <f>IF(G216="","",IFERROR(INDEX('Listas'!$N$6:$N$35,MATCH(G216,'Listas'!$M$6:$M$35,0)),""))</f>
        <v/>
      </c>
      <c r="AE216">
        <f>IF(G216="",1,IFERROR(INDEX('Listas'!$P$6:$P$35,MATCH(G216,'Listas'!$M$6:$M$35,0)),1))</f>
        <v>1</v>
      </c>
      <c r="AF216">
        <f>IF(H216="Compra",1,IF(H216="Venta",-1,0))</f>
        <v>0</v>
      </c>
      <c r="AG216">
        <f>IF(AND(D216&lt;&gt;"",ISNUMBER(R216)),1,0)</f>
        <v>0</v>
      </c>
      <c r="AH216">
        <f>IF(AG216=0,0,IF(OR('Panel'!$D$5="Todas las cuentas",'Panel'!$D$5="",F216='Panel'!$D$5),1,0))</f>
        <v>0</v>
      </c>
      <c r="AI216">
        <f>IF(AH216=0,0,IF(AND(OR('Panel'!$G$5="",D216&gt;='Panel'!$G$5),OR('Panel'!$J$5="",D216&lt;='Panel'!$J$5)),1,0))</f>
        <v>0</v>
      </c>
      <c r="AJ216">
        <f>IF(AI216=1,R216,0)</f>
        <v>0</v>
      </c>
      <c r="AK216" t="str">
        <f>IF(AI216=1,'Panel'!$AB$4+SUM($AJ$5:AJ216),"")</f>
        <v/>
      </c>
      <c r="AL216">
        <f>IF(AI216=0,N(AL215),IF(R216&lt;0,N(AL215)+1,0))</f>
        <v>1</v>
      </c>
      <c r="AM216">
        <f>IF(AI216=0,N(AM215),IF(R216&gt;0,N(AM215)+1,0))</f>
        <v>0</v>
      </c>
      <c r="AN216">
        <f>IF(AI216=1,MAX('Panel'!$AB$4,N(AN215),AK216),N(AN215))</f>
        <v>21371.061500000033</v>
      </c>
      <c r="AO216">
        <f>IF(AI216=1,AN216-AK216,0)</f>
        <v>0</v>
      </c>
      <c r="AP216">
        <f>IF(AND(AI216=1,AN216&gt;0),AO216/AN216,0)</f>
        <v>0</v>
      </c>
      <c r="AQ216" t="str">
        <f>IF(AI216=1,SUM($AI$5:AI216),"")</f>
        <v/>
      </c>
      <c r="AR216" t="str">
        <f>IF(AI216=1,IF(COUNTIFS($D$5:D216,D216,$AI$5:AI216,1)=1,SUMIFS($AJ$5:$AJ$504,$D$5:$D$504,D216),""),"")</f>
        <v/>
      </c>
      <c r="AS216" t="str">
        <f>IF(AG216=1,WEEKDAY(D216,2),"")</f>
        <v/>
      </c>
      <c r="AT216" s="31" t="str">
        <f>IF(AG216=1,DATE(YEAR(D216),MONTH(D216),1),"")</f>
        <v/>
      </c>
      <c r="AU216">
        <f>IF(AG216=0,0,IF(AND(OR('Prop challenge'!$D$7="",F216='Prop challenge'!$D$7),OR('Prop challenge'!$D$9="",D216&gt;='Prop challenge'!$D$9)),1,0))</f>
        <v>0</v>
      </c>
      <c r="AV216">
        <f>IF(AU216=1,IF(COUNTIFS($D$5:D216,D216,$AU$5:AU216,1)=1,1,0),0)</f>
        <v>0</v>
      </c>
      <c r="AW216" t="str">
        <f>IF(AV216=1,SUM($AV$5:AV216),"")</f>
        <v/>
      </c>
      <c r="AX216" t="str">
        <f>IF(AV216=1,SUMIFS($R$5:$R$504,$D$5:$D$504,D216,$AU$5:$AU$504,1),"")</f>
        <v/>
      </c>
    </row>
    <row r="217">
      <c r="A217" s="20" t="str">
        <f>IF(AG217=1,ROW()-4,"")</f>
        <v/>
      </c>
      <c r="B217" s="21" t="n"/>
      <c r="C217" s="22" t="n"/>
      <c r="D217" s="21" t="n"/>
      <c r="E217" s="22" t="n"/>
      <c r="F217" s="23" t="n"/>
      <c r="G217" s="23" t="n"/>
      <c r="H217" s="23" t="n"/>
      <c r="I217" s="24" t="n"/>
      <c r="J217" s="25" t="n"/>
      <c r="K217" s="25" t="n"/>
      <c r="L217" s="25" t="n"/>
      <c r="M217" s="25" t="n"/>
      <c r="N217" s="26" t="n"/>
      <c r="O217" s="26" t="n"/>
      <c r="P217" s="27" t="str">
        <f>IF(OR(J217="",K217="",I217="",AF217=0,AD217=""),"",(K217-J217)*AF217*I217*AD217*AE217)</f>
        <v/>
      </c>
      <c r="Q217" s="26" t="n"/>
      <c r="R217" s="28" t="str">
        <f>IF(Q217&lt;&gt;"",Q217,IF(P217="","",P217-N(N217)+N(O217)))</f>
        <v/>
      </c>
      <c r="S217" s="27" t="str">
        <f>IF(OR(L217="",J217="",I217="",AD217=""),"",ABS(J217-L217)*I217*AD217*AE217)</f>
        <v/>
      </c>
      <c r="T217" s="29" t="str">
        <f>IF(OR(R217="",S217="",S217=0),"",R217/S217)</f>
        <v/>
      </c>
      <c r="U217" s="20" t="str">
        <f>IF(R217="","",IF(R217&gt;0,"Ganadora",IF(R217&lt;0,"Perdedora","BE")))</f>
        <v/>
      </c>
      <c r="V217" s="23" t="n"/>
      <c r="W217" s="23" t="n"/>
      <c r="X217" s="23" t="n"/>
      <c r="Y217" s="23" t="n"/>
      <c r="Z217" s="23" t="n"/>
      <c r="AA217" s="23" t="n"/>
      <c r="AB217" s="30" t="n"/>
      <c r="AC217" s="1" t="n"/>
      <c r="AD217" s="1" t="str">
        <f>IF(G217="","",IFERROR(INDEX('Listas'!$N$6:$N$35,MATCH(G217,'Listas'!$M$6:$M$35,0)),""))</f>
        <v/>
      </c>
      <c r="AE217">
        <f>IF(G217="",1,IFERROR(INDEX('Listas'!$P$6:$P$35,MATCH(G217,'Listas'!$M$6:$M$35,0)),1))</f>
        <v>1</v>
      </c>
      <c r="AF217">
        <f>IF(H217="Compra",1,IF(H217="Venta",-1,0))</f>
        <v>0</v>
      </c>
      <c r="AG217">
        <f>IF(AND(D217&lt;&gt;"",ISNUMBER(R217)),1,0)</f>
        <v>0</v>
      </c>
      <c r="AH217">
        <f>IF(AG217=0,0,IF(OR('Panel'!$D$5="Todas las cuentas",'Panel'!$D$5="",F217='Panel'!$D$5),1,0))</f>
        <v>0</v>
      </c>
      <c r="AI217">
        <f>IF(AH217=0,0,IF(AND(OR('Panel'!$G$5="",D217&gt;='Panel'!$G$5),OR('Panel'!$J$5="",D217&lt;='Panel'!$J$5)),1,0))</f>
        <v>0</v>
      </c>
      <c r="AJ217">
        <f>IF(AI217=1,R217,0)</f>
        <v>0</v>
      </c>
      <c r="AK217" t="str">
        <f>IF(AI217=1,'Panel'!$AB$4+SUM($AJ$5:AJ217),"")</f>
        <v/>
      </c>
      <c r="AL217">
        <f>IF(AI217=0,N(AL216),IF(R217&lt;0,N(AL216)+1,0))</f>
        <v>1</v>
      </c>
      <c r="AM217">
        <f>IF(AI217=0,N(AM216),IF(R217&gt;0,N(AM216)+1,0))</f>
        <v>0</v>
      </c>
      <c r="AN217">
        <f>IF(AI217=1,MAX('Panel'!$AB$4,N(AN216),AK217),N(AN216))</f>
        <v>21371.061500000033</v>
      </c>
      <c r="AO217">
        <f>IF(AI217=1,AN217-AK217,0)</f>
        <v>0</v>
      </c>
      <c r="AP217">
        <f>IF(AND(AI217=1,AN217&gt;0),AO217/AN217,0)</f>
        <v>0</v>
      </c>
      <c r="AQ217" t="str">
        <f>IF(AI217=1,SUM($AI$5:AI217),"")</f>
        <v/>
      </c>
      <c r="AR217" t="str">
        <f>IF(AI217=1,IF(COUNTIFS($D$5:D217,D217,$AI$5:AI217,1)=1,SUMIFS($AJ$5:$AJ$504,$D$5:$D$504,D217),""),"")</f>
        <v/>
      </c>
      <c r="AS217" t="str">
        <f>IF(AG217=1,WEEKDAY(D217,2),"")</f>
        <v/>
      </c>
      <c r="AT217" s="31" t="str">
        <f>IF(AG217=1,DATE(YEAR(D217),MONTH(D217),1),"")</f>
        <v/>
      </c>
      <c r="AU217">
        <f>IF(AG217=0,0,IF(AND(OR('Prop challenge'!$D$7="",F217='Prop challenge'!$D$7),OR('Prop challenge'!$D$9="",D217&gt;='Prop challenge'!$D$9)),1,0))</f>
        <v>0</v>
      </c>
      <c r="AV217">
        <f>IF(AU217=1,IF(COUNTIFS($D$5:D217,D217,$AU$5:AU217,1)=1,1,0),0)</f>
        <v>0</v>
      </c>
      <c r="AW217" t="str">
        <f>IF(AV217=1,SUM($AV$5:AV217),"")</f>
        <v/>
      </c>
      <c r="AX217" t="str">
        <f>IF(AV217=1,SUMIFS($R$5:$R$504,$D$5:$D$504,D217,$AU$5:$AU$504,1),"")</f>
        <v/>
      </c>
    </row>
    <row r="218">
      <c r="A218" s="20" t="str">
        <f>IF(AG218=1,ROW()-4,"")</f>
        <v/>
      </c>
      <c r="B218" s="21" t="n"/>
      <c r="C218" s="22" t="n"/>
      <c r="D218" s="21" t="n"/>
      <c r="E218" s="22" t="n"/>
      <c r="F218" s="23" t="n"/>
      <c r="G218" s="23" t="n"/>
      <c r="H218" s="23" t="n"/>
      <c r="I218" s="24" t="n"/>
      <c r="J218" s="25" t="n"/>
      <c r="K218" s="25" t="n"/>
      <c r="L218" s="25" t="n"/>
      <c r="M218" s="25" t="n"/>
      <c r="N218" s="26" t="n"/>
      <c r="O218" s="26" t="n"/>
      <c r="P218" s="27" t="str">
        <f>IF(OR(J218="",K218="",I218="",AF218=0,AD218=""),"",(K218-J218)*AF218*I218*AD218*AE218)</f>
        <v/>
      </c>
      <c r="Q218" s="26" t="n"/>
      <c r="R218" s="28" t="str">
        <f>IF(Q218&lt;&gt;"",Q218,IF(P218="","",P218-N(N218)+N(O218)))</f>
        <v/>
      </c>
      <c r="S218" s="27" t="str">
        <f>IF(OR(L218="",J218="",I218="",AD218=""),"",ABS(J218-L218)*I218*AD218*AE218)</f>
        <v/>
      </c>
      <c r="T218" s="29" t="str">
        <f>IF(OR(R218="",S218="",S218=0),"",R218/S218)</f>
        <v/>
      </c>
      <c r="U218" s="20" t="str">
        <f>IF(R218="","",IF(R218&gt;0,"Ganadora",IF(R218&lt;0,"Perdedora","BE")))</f>
        <v/>
      </c>
      <c r="V218" s="23" t="n"/>
      <c r="W218" s="23" t="n"/>
      <c r="X218" s="23" t="n"/>
      <c r="Y218" s="23" t="n"/>
      <c r="Z218" s="23" t="n"/>
      <c r="AA218" s="23" t="n"/>
      <c r="AB218" s="30" t="n"/>
      <c r="AC218" s="1" t="n"/>
      <c r="AD218" s="1" t="str">
        <f>IF(G218="","",IFERROR(INDEX('Listas'!$N$6:$N$35,MATCH(G218,'Listas'!$M$6:$M$35,0)),""))</f>
        <v/>
      </c>
      <c r="AE218">
        <f>IF(G218="",1,IFERROR(INDEX('Listas'!$P$6:$P$35,MATCH(G218,'Listas'!$M$6:$M$35,0)),1))</f>
        <v>1</v>
      </c>
      <c r="AF218">
        <f>IF(H218="Compra",1,IF(H218="Venta",-1,0))</f>
        <v>0</v>
      </c>
      <c r="AG218">
        <f>IF(AND(D218&lt;&gt;"",ISNUMBER(R218)),1,0)</f>
        <v>0</v>
      </c>
      <c r="AH218">
        <f>IF(AG218=0,0,IF(OR('Panel'!$D$5="Todas las cuentas",'Panel'!$D$5="",F218='Panel'!$D$5),1,0))</f>
        <v>0</v>
      </c>
      <c r="AI218">
        <f>IF(AH218=0,0,IF(AND(OR('Panel'!$G$5="",D218&gt;='Panel'!$G$5),OR('Panel'!$J$5="",D218&lt;='Panel'!$J$5)),1,0))</f>
        <v>0</v>
      </c>
      <c r="AJ218">
        <f>IF(AI218=1,R218,0)</f>
        <v>0</v>
      </c>
      <c r="AK218" t="str">
        <f>IF(AI218=1,'Panel'!$AB$4+SUM($AJ$5:AJ218),"")</f>
        <v/>
      </c>
      <c r="AL218">
        <f>IF(AI218=0,N(AL217),IF(R218&lt;0,N(AL217)+1,0))</f>
        <v>1</v>
      </c>
      <c r="AM218">
        <f>IF(AI218=0,N(AM217),IF(R218&gt;0,N(AM217)+1,0))</f>
        <v>0</v>
      </c>
      <c r="AN218">
        <f>IF(AI218=1,MAX('Panel'!$AB$4,N(AN217),AK218),N(AN217))</f>
        <v>21371.061500000033</v>
      </c>
      <c r="AO218">
        <f>IF(AI218=1,AN218-AK218,0)</f>
        <v>0</v>
      </c>
      <c r="AP218">
        <f>IF(AND(AI218=1,AN218&gt;0),AO218/AN218,0)</f>
        <v>0</v>
      </c>
      <c r="AQ218" t="str">
        <f>IF(AI218=1,SUM($AI$5:AI218),"")</f>
        <v/>
      </c>
      <c r="AR218" t="str">
        <f>IF(AI218=1,IF(COUNTIFS($D$5:D218,D218,$AI$5:AI218,1)=1,SUMIFS($AJ$5:$AJ$504,$D$5:$D$504,D218),""),"")</f>
        <v/>
      </c>
      <c r="AS218" t="str">
        <f>IF(AG218=1,WEEKDAY(D218,2),"")</f>
        <v/>
      </c>
      <c r="AT218" s="31" t="str">
        <f>IF(AG218=1,DATE(YEAR(D218),MONTH(D218),1),"")</f>
        <v/>
      </c>
      <c r="AU218">
        <f>IF(AG218=0,0,IF(AND(OR('Prop challenge'!$D$7="",F218='Prop challenge'!$D$7),OR('Prop challenge'!$D$9="",D218&gt;='Prop challenge'!$D$9)),1,0))</f>
        <v>0</v>
      </c>
      <c r="AV218">
        <f>IF(AU218=1,IF(COUNTIFS($D$5:D218,D218,$AU$5:AU218,1)=1,1,0),0)</f>
        <v>0</v>
      </c>
      <c r="AW218" t="str">
        <f>IF(AV218=1,SUM($AV$5:AV218),"")</f>
        <v/>
      </c>
      <c r="AX218" t="str">
        <f>IF(AV218=1,SUMIFS($R$5:$R$504,$D$5:$D$504,D218,$AU$5:$AU$504,1),"")</f>
        <v/>
      </c>
    </row>
    <row r="219">
      <c r="A219" s="20" t="str">
        <f>IF(AG219=1,ROW()-4,"")</f>
        <v/>
      </c>
      <c r="B219" s="21" t="n"/>
      <c r="C219" s="22" t="n"/>
      <c r="D219" s="21" t="n"/>
      <c r="E219" s="22" t="n"/>
      <c r="F219" s="23" t="n"/>
      <c r="G219" s="23" t="n"/>
      <c r="H219" s="23" t="n"/>
      <c r="I219" s="24" t="n"/>
      <c r="J219" s="25" t="n"/>
      <c r="K219" s="25" t="n"/>
      <c r="L219" s="25" t="n"/>
      <c r="M219" s="25" t="n"/>
      <c r="N219" s="26" t="n"/>
      <c r="O219" s="26" t="n"/>
      <c r="P219" s="27" t="str">
        <f>IF(OR(J219="",K219="",I219="",AF219=0,AD219=""),"",(K219-J219)*AF219*I219*AD219*AE219)</f>
        <v/>
      </c>
      <c r="Q219" s="26" t="n"/>
      <c r="R219" s="28" t="str">
        <f>IF(Q219&lt;&gt;"",Q219,IF(P219="","",P219-N(N219)+N(O219)))</f>
        <v/>
      </c>
      <c r="S219" s="27" t="str">
        <f>IF(OR(L219="",J219="",I219="",AD219=""),"",ABS(J219-L219)*I219*AD219*AE219)</f>
        <v/>
      </c>
      <c r="T219" s="29" t="str">
        <f>IF(OR(R219="",S219="",S219=0),"",R219/S219)</f>
        <v/>
      </c>
      <c r="U219" s="20" t="str">
        <f>IF(R219="","",IF(R219&gt;0,"Ganadora",IF(R219&lt;0,"Perdedora","BE")))</f>
        <v/>
      </c>
      <c r="V219" s="23" t="n"/>
      <c r="W219" s="23" t="n"/>
      <c r="X219" s="23" t="n"/>
      <c r="Y219" s="23" t="n"/>
      <c r="Z219" s="23" t="n"/>
      <c r="AA219" s="23" t="n"/>
      <c r="AB219" s="30" t="n"/>
      <c r="AC219" s="1" t="n"/>
      <c r="AD219" s="1" t="str">
        <f>IF(G219="","",IFERROR(INDEX('Listas'!$N$6:$N$35,MATCH(G219,'Listas'!$M$6:$M$35,0)),""))</f>
        <v/>
      </c>
      <c r="AE219">
        <f>IF(G219="",1,IFERROR(INDEX('Listas'!$P$6:$P$35,MATCH(G219,'Listas'!$M$6:$M$35,0)),1))</f>
        <v>1</v>
      </c>
      <c r="AF219">
        <f>IF(H219="Compra",1,IF(H219="Venta",-1,0))</f>
        <v>0</v>
      </c>
      <c r="AG219">
        <f>IF(AND(D219&lt;&gt;"",ISNUMBER(R219)),1,0)</f>
        <v>0</v>
      </c>
      <c r="AH219">
        <f>IF(AG219=0,0,IF(OR('Panel'!$D$5="Todas las cuentas",'Panel'!$D$5="",F219='Panel'!$D$5),1,0))</f>
        <v>0</v>
      </c>
      <c r="AI219">
        <f>IF(AH219=0,0,IF(AND(OR('Panel'!$G$5="",D219&gt;='Panel'!$G$5),OR('Panel'!$J$5="",D219&lt;='Panel'!$J$5)),1,0))</f>
        <v>0</v>
      </c>
      <c r="AJ219">
        <f>IF(AI219=1,R219,0)</f>
        <v>0</v>
      </c>
      <c r="AK219" t="str">
        <f>IF(AI219=1,'Panel'!$AB$4+SUM($AJ$5:AJ219),"")</f>
        <v/>
      </c>
      <c r="AL219">
        <f>IF(AI219=0,N(AL218),IF(R219&lt;0,N(AL218)+1,0))</f>
        <v>1</v>
      </c>
      <c r="AM219">
        <f>IF(AI219=0,N(AM218),IF(R219&gt;0,N(AM218)+1,0))</f>
        <v>0</v>
      </c>
      <c r="AN219">
        <f>IF(AI219=1,MAX('Panel'!$AB$4,N(AN218),AK219),N(AN218))</f>
        <v>21371.061500000033</v>
      </c>
      <c r="AO219">
        <f>IF(AI219=1,AN219-AK219,0)</f>
        <v>0</v>
      </c>
      <c r="AP219">
        <f>IF(AND(AI219=1,AN219&gt;0),AO219/AN219,0)</f>
        <v>0</v>
      </c>
      <c r="AQ219" t="str">
        <f>IF(AI219=1,SUM($AI$5:AI219),"")</f>
        <v/>
      </c>
      <c r="AR219" t="str">
        <f>IF(AI219=1,IF(COUNTIFS($D$5:D219,D219,$AI$5:AI219,1)=1,SUMIFS($AJ$5:$AJ$504,$D$5:$D$504,D219),""),"")</f>
        <v/>
      </c>
      <c r="AS219" t="str">
        <f>IF(AG219=1,WEEKDAY(D219,2),"")</f>
        <v/>
      </c>
      <c r="AT219" s="31" t="str">
        <f>IF(AG219=1,DATE(YEAR(D219),MONTH(D219),1),"")</f>
        <v/>
      </c>
      <c r="AU219">
        <f>IF(AG219=0,0,IF(AND(OR('Prop challenge'!$D$7="",F219='Prop challenge'!$D$7),OR('Prop challenge'!$D$9="",D219&gt;='Prop challenge'!$D$9)),1,0))</f>
        <v>0</v>
      </c>
      <c r="AV219">
        <f>IF(AU219=1,IF(COUNTIFS($D$5:D219,D219,$AU$5:AU219,1)=1,1,0),0)</f>
        <v>0</v>
      </c>
      <c r="AW219" t="str">
        <f>IF(AV219=1,SUM($AV$5:AV219),"")</f>
        <v/>
      </c>
      <c r="AX219" t="str">
        <f>IF(AV219=1,SUMIFS($R$5:$R$504,$D$5:$D$504,D219,$AU$5:$AU$504,1),"")</f>
        <v/>
      </c>
    </row>
    <row r="220">
      <c r="A220" s="20" t="str">
        <f>IF(AG220=1,ROW()-4,"")</f>
        <v/>
      </c>
      <c r="B220" s="21" t="n"/>
      <c r="C220" s="22" t="n"/>
      <c r="D220" s="21" t="n"/>
      <c r="E220" s="22" t="n"/>
      <c r="F220" s="23" t="n"/>
      <c r="G220" s="23" t="n"/>
      <c r="H220" s="23" t="n"/>
      <c r="I220" s="24" t="n"/>
      <c r="J220" s="25" t="n"/>
      <c r="K220" s="25" t="n"/>
      <c r="L220" s="25" t="n"/>
      <c r="M220" s="25" t="n"/>
      <c r="N220" s="26" t="n"/>
      <c r="O220" s="26" t="n"/>
      <c r="P220" s="27" t="str">
        <f>IF(OR(J220="",K220="",I220="",AF220=0,AD220=""),"",(K220-J220)*AF220*I220*AD220*AE220)</f>
        <v/>
      </c>
      <c r="Q220" s="26" t="n"/>
      <c r="R220" s="28" t="str">
        <f>IF(Q220&lt;&gt;"",Q220,IF(P220="","",P220-N(N220)+N(O220)))</f>
        <v/>
      </c>
      <c r="S220" s="27" t="str">
        <f>IF(OR(L220="",J220="",I220="",AD220=""),"",ABS(J220-L220)*I220*AD220*AE220)</f>
        <v/>
      </c>
      <c r="T220" s="29" t="str">
        <f>IF(OR(R220="",S220="",S220=0),"",R220/S220)</f>
        <v/>
      </c>
      <c r="U220" s="20" t="str">
        <f>IF(R220="","",IF(R220&gt;0,"Ganadora",IF(R220&lt;0,"Perdedora","BE")))</f>
        <v/>
      </c>
      <c r="V220" s="23" t="n"/>
      <c r="W220" s="23" t="n"/>
      <c r="X220" s="23" t="n"/>
      <c r="Y220" s="23" t="n"/>
      <c r="Z220" s="23" t="n"/>
      <c r="AA220" s="23" t="n"/>
      <c r="AB220" s="30" t="n"/>
      <c r="AC220" s="1" t="n"/>
      <c r="AD220" s="1" t="str">
        <f>IF(G220="","",IFERROR(INDEX('Listas'!$N$6:$N$35,MATCH(G220,'Listas'!$M$6:$M$35,0)),""))</f>
        <v/>
      </c>
      <c r="AE220">
        <f>IF(G220="",1,IFERROR(INDEX('Listas'!$P$6:$P$35,MATCH(G220,'Listas'!$M$6:$M$35,0)),1))</f>
        <v>1</v>
      </c>
      <c r="AF220">
        <f>IF(H220="Compra",1,IF(H220="Venta",-1,0))</f>
        <v>0</v>
      </c>
      <c r="AG220">
        <f>IF(AND(D220&lt;&gt;"",ISNUMBER(R220)),1,0)</f>
        <v>0</v>
      </c>
      <c r="AH220">
        <f>IF(AG220=0,0,IF(OR('Panel'!$D$5="Todas las cuentas",'Panel'!$D$5="",F220='Panel'!$D$5),1,0))</f>
        <v>0</v>
      </c>
      <c r="AI220">
        <f>IF(AH220=0,0,IF(AND(OR('Panel'!$G$5="",D220&gt;='Panel'!$G$5),OR('Panel'!$J$5="",D220&lt;='Panel'!$J$5)),1,0))</f>
        <v>0</v>
      </c>
      <c r="AJ220">
        <f>IF(AI220=1,R220,0)</f>
        <v>0</v>
      </c>
      <c r="AK220" t="str">
        <f>IF(AI220=1,'Panel'!$AB$4+SUM($AJ$5:AJ220),"")</f>
        <v/>
      </c>
      <c r="AL220">
        <f>IF(AI220=0,N(AL219),IF(R220&lt;0,N(AL219)+1,0))</f>
        <v>1</v>
      </c>
      <c r="AM220">
        <f>IF(AI220=0,N(AM219),IF(R220&gt;0,N(AM219)+1,0))</f>
        <v>0</v>
      </c>
      <c r="AN220">
        <f>IF(AI220=1,MAX('Panel'!$AB$4,N(AN219),AK220),N(AN219))</f>
        <v>21371.061500000033</v>
      </c>
      <c r="AO220">
        <f>IF(AI220=1,AN220-AK220,0)</f>
        <v>0</v>
      </c>
      <c r="AP220">
        <f>IF(AND(AI220=1,AN220&gt;0),AO220/AN220,0)</f>
        <v>0</v>
      </c>
      <c r="AQ220" t="str">
        <f>IF(AI220=1,SUM($AI$5:AI220),"")</f>
        <v/>
      </c>
      <c r="AR220" t="str">
        <f>IF(AI220=1,IF(COUNTIFS($D$5:D220,D220,$AI$5:AI220,1)=1,SUMIFS($AJ$5:$AJ$504,$D$5:$D$504,D220),""),"")</f>
        <v/>
      </c>
      <c r="AS220" t="str">
        <f>IF(AG220=1,WEEKDAY(D220,2),"")</f>
        <v/>
      </c>
      <c r="AT220" s="31" t="str">
        <f>IF(AG220=1,DATE(YEAR(D220),MONTH(D220),1),"")</f>
        <v/>
      </c>
      <c r="AU220">
        <f>IF(AG220=0,0,IF(AND(OR('Prop challenge'!$D$7="",F220='Prop challenge'!$D$7),OR('Prop challenge'!$D$9="",D220&gt;='Prop challenge'!$D$9)),1,0))</f>
        <v>0</v>
      </c>
      <c r="AV220">
        <f>IF(AU220=1,IF(COUNTIFS($D$5:D220,D220,$AU$5:AU220,1)=1,1,0),0)</f>
        <v>0</v>
      </c>
      <c r="AW220" t="str">
        <f>IF(AV220=1,SUM($AV$5:AV220),"")</f>
        <v/>
      </c>
      <c r="AX220" t="str">
        <f>IF(AV220=1,SUMIFS($R$5:$R$504,$D$5:$D$504,D220,$AU$5:$AU$504,1),"")</f>
        <v/>
      </c>
    </row>
    <row r="221">
      <c r="A221" s="20" t="str">
        <f>IF(AG221=1,ROW()-4,"")</f>
        <v/>
      </c>
      <c r="B221" s="21" t="n"/>
      <c r="C221" s="22" t="n"/>
      <c r="D221" s="21" t="n"/>
      <c r="E221" s="22" t="n"/>
      <c r="F221" s="23" t="n"/>
      <c r="G221" s="23" t="n"/>
      <c r="H221" s="23" t="n"/>
      <c r="I221" s="24" t="n"/>
      <c r="J221" s="25" t="n"/>
      <c r="K221" s="25" t="n"/>
      <c r="L221" s="25" t="n"/>
      <c r="M221" s="25" t="n"/>
      <c r="N221" s="26" t="n"/>
      <c r="O221" s="26" t="n"/>
      <c r="P221" s="27" t="str">
        <f>IF(OR(J221="",K221="",I221="",AF221=0,AD221=""),"",(K221-J221)*AF221*I221*AD221*AE221)</f>
        <v/>
      </c>
      <c r="Q221" s="26" t="n"/>
      <c r="R221" s="28" t="str">
        <f>IF(Q221&lt;&gt;"",Q221,IF(P221="","",P221-N(N221)+N(O221)))</f>
        <v/>
      </c>
      <c r="S221" s="27" t="str">
        <f>IF(OR(L221="",J221="",I221="",AD221=""),"",ABS(J221-L221)*I221*AD221*AE221)</f>
        <v/>
      </c>
      <c r="T221" s="29" t="str">
        <f>IF(OR(R221="",S221="",S221=0),"",R221/S221)</f>
        <v/>
      </c>
      <c r="U221" s="20" t="str">
        <f>IF(R221="","",IF(R221&gt;0,"Ganadora",IF(R221&lt;0,"Perdedora","BE")))</f>
        <v/>
      </c>
      <c r="V221" s="23" t="n"/>
      <c r="W221" s="23" t="n"/>
      <c r="X221" s="23" t="n"/>
      <c r="Y221" s="23" t="n"/>
      <c r="Z221" s="23" t="n"/>
      <c r="AA221" s="23" t="n"/>
      <c r="AB221" s="30" t="n"/>
      <c r="AC221" s="1" t="n"/>
      <c r="AD221" s="1" t="str">
        <f>IF(G221="","",IFERROR(INDEX('Listas'!$N$6:$N$35,MATCH(G221,'Listas'!$M$6:$M$35,0)),""))</f>
        <v/>
      </c>
      <c r="AE221">
        <f>IF(G221="",1,IFERROR(INDEX('Listas'!$P$6:$P$35,MATCH(G221,'Listas'!$M$6:$M$35,0)),1))</f>
        <v>1</v>
      </c>
      <c r="AF221">
        <f>IF(H221="Compra",1,IF(H221="Venta",-1,0))</f>
        <v>0</v>
      </c>
      <c r="AG221">
        <f>IF(AND(D221&lt;&gt;"",ISNUMBER(R221)),1,0)</f>
        <v>0</v>
      </c>
      <c r="AH221">
        <f>IF(AG221=0,0,IF(OR('Panel'!$D$5="Todas las cuentas",'Panel'!$D$5="",F221='Panel'!$D$5),1,0))</f>
        <v>0</v>
      </c>
      <c r="AI221">
        <f>IF(AH221=0,0,IF(AND(OR('Panel'!$G$5="",D221&gt;='Panel'!$G$5),OR('Panel'!$J$5="",D221&lt;='Panel'!$J$5)),1,0))</f>
        <v>0</v>
      </c>
      <c r="AJ221">
        <f>IF(AI221=1,R221,0)</f>
        <v>0</v>
      </c>
      <c r="AK221" t="str">
        <f>IF(AI221=1,'Panel'!$AB$4+SUM($AJ$5:AJ221),"")</f>
        <v/>
      </c>
      <c r="AL221">
        <f>IF(AI221=0,N(AL220),IF(R221&lt;0,N(AL220)+1,0))</f>
        <v>1</v>
      </c>
      <c r="AM221">
        <f>IF(AI221=0,N(AM220),IF(R221&gt;0,N(AM220)+1,0))</f>
        <v>0</v>
      </c>
      <c r="AN221">
        <f>IF(AI221=1,MAX('Panel'!$AB$4,N(AN220),AK221),N(AN220))</f>
        <v>21371.061500000033</v>
      </c>
      <c r="AO221">
        <f>IF(AI221=1,AN221-AK221,0)</f>
        <v>0</v>
      </c>
      <c r="AP221">
        <f>IF(AND(AI221=1,AN221&gt;0),AO221/AN221,0)</f>
        <v>0</v>
      </c>
      <c r="AQ221" t="str">
        <f>IF(AI221=1,SUM($AI$5:AI221),"")</f>
        <v/>
      </c>
      <c r="AR221" t="str">
        <f>IF(AI221=1,IF(COUNTIFS($D$5:D221,D221,$AI$5:AI221,1)=1,SUMIFS($AJ$5:$AJ$504,$D$5:$D$504,D221),""),"")</f>
        <v/>
      </c>
      <c r="AS221" t="str">
        <f>IF(AG221=1,WEEKDAY(D221,2),"")</f>
        <v/>
      </c>
      <c r="AT221" s="31" t="str">
        <f>IF(AG221=1,DATE(YEAR(D221),MONTH(D221),1),"")</f>
        <v/>
      </c>
      <c r="AU221">
        <f>IF(AG221=0,0,IF(AND(OR('Prop challenge'!$D$7="",F221='Prop challenge'!$D$7),OR('Prop challenge'!$D$9="",D221&gt;='Prop challenge'!$D$9)),1,0))</f>
        <v>0</v>
      </c>
      <c r="AV221">
        <f>IF(AU221=1,IF(COUNTIFS($D$5:D221,D221,$AU$5:AU221,1)=1,1,0),0)</f>
        <v>0</v>
      </c>
      <c r="AW221" t="str">
        <f>IF(AV221=1,SUM($AV$5:AV221),"")</f>
        <v/>
      </c>
      <c r="AX221" t="str">
        <f>IF(AV221=1,SUMIFS($R$5:$R$504,$D$5:$D$504,D221,$AU$5:$AU$504,1),"")</f>
        <v/>
      </c>
    </row>
    <row r="222">
      <c r="A222" s="20" t="str">
        <f>IF(AG222=1,ROW()-4,"")</f>
        <v/>
      </c>
      <c r="B222" s="21" t="n"/>
      <c r="C222" s="22" t="n"/>
      <c r="D222" s="21" t="n"/>
      <c r="E222" s="22" t="n"/>
      <c r="F222" s="23" t="n"/>
      <c r="G222" s="23" t="n"/>
      <c r="H222" s="23" t="n"/>
      <c r="I222" s="24" t="n"/>
      <c r="J222" s="25" t="n"/>
      <c r="K222" s="25" t="n"/>
      <c r="L222" s="25" t="n"/>
      <c r="M222" s="25" t="n"/>
      <c r="N222" s="26" t="n"/>
      <c r="O222" s="26" t="n"/>
      <c r="P222" s="27" t="str">
        <f>IF(OR(J222="",K222="",I222="",AF222=0,AD222=""),"",(K222-J222)*AF222*I222*AD222*AE222)</f>
        <v/>
      </c>
      <c r="Q222" s="26" t="n"/>
      <c r="R222" s="28" t="str">
        <f>IF(Q222&lt;&gt;"",Q222,IF(P222="","",P222-N(N222)+N(O222)))</f>
        <v/>
      </c>
      <c r="S222" s="27" t="str">
        <f>IF(OR(L222="",J222="",I222="",AD222=""),"",ABS(J222-L222)*I222*AD222*AE222)</f>
        <v/>
      </c>
      <c r="T222" s="29" t="str">
        <f>IF(OR(R222="",S222="",S222=0),"",R222/S222)</f>
        <v/>
      </c>
      <c r="U222" s="20" t="str">
        <f>IF(R222="","",IF(R222&gt;0,"Ganadora",IF(R222&lt;0,"Perdedora","BE")))</f>
        <v/>
      </c>
      <c r="V222" s="23" t="n"/>
      <c r="W222" s="23" t="n"/>
      <c r="X222" s="23" t="n"/>
      <c r="Y222" s="23" t="n"/>
      <c r="Z222" s="23" t="n"/>
      <c r="AA222" s="23" t="n"/>
      <c r="AB222" s="30" t="n"/>
      <c r="AC222" s="1" t="n"/>
      <c r="AD222" s="1" t="str">
        <f>IF(G222="","",IFERROR(INDEX('Listas'!$N$6:$N$35,MATCH(G222,'Listas'!$M$6:$M$35,0)),""))</f>
        <v/>
      </c>
      <c r="AE222">
        <f>IF(G222="",1,IFERROR(INDEX('Listas'!$P$6:$P$35,MATCH(G222,'Listas'!$M$6:$M$35,0)),1))</f>
        <v>1</v>
      </c>
      <c r="AF222">
        <f>IF(H222="Compra",1,IF(H222="Venta",-1,0))</f>
        <v>0</v>
      </c>
      <c r="AG222">
        <f>IF(AND(D222&lt;&gt;"",ISNUMBER(R222)),1,0)</f>
        <v>0</v>
      </c>
      <c r="AH222">
        <f>IF(AG222=0,0,IF(OR('Panel'!$D$5="Todas las cuentas",'Panel'!$D$5="",F222='Panel'!$D$5),1,0))</f>
        <v>0</v>
      </c>
      <c r="AI222">
        <f>IF(AH222=0,0,IF(AND(OR('Panel'!$G$5="",D222&gt;='Panel'!$G$5),OR('Panel'!$J$5="",D222&lt;='Panel'!$J$5)),1,0))</f>
        <v>0</v>
      </c>
      <c r="AJ222">
        <f>IF(AI222=1,R222,0)</f>
        <v>0</v>
      </c>
      <c r="AK222" t="str">
        <f>IF(AI222=1,'Panel'!$AB$4+SUM($AJ$5:AJ222),"")</f>
        <v/>
      </c>
      <c r="AL222">
        <f>IF(AI222=0,N(AL221),IF(R222&lt;0,N(AL221)+1,0))</f>
        <v>1</v>
      </c>
      <c r="AM222">
        <f>IF(AI222=0,N(AM221),IF(R222&gt;0,N(AM221)+1,0))</f>
        <v>0</v>
      </c>
      <c r="AN222">
        <f>IF(AI222=1,MAX('Panel'!$AB$4,N(AN221),AK222),N(AN221))</f>
        <v>21371.061500000033</v>
      </c>
      <c r="AO222">
        <f>IF(AI222=1,AN222-AK222,0)</f>
        <v>0</v>
      </c>
      <c r="AP222">
        <f>IF(AND(AI222=1,AN222&gt;0),AO222/AN222,0)</f>
        <v>0</v>
      </c>
      <c r="AQ222" t="str">
        <f>IF(AI222=1,SUM($AI$5:AI222),"")</f>
        <v/>
      </c>
      <c r="AR222" t="str">
        <f>IF(AI222=1,IF(COUNTIFS($D$5:D222,D222,$AI$5:AI222,1)=1,SUMIFS($AJ$5:$AJ$504,$D$5:$D$504,D222),""),"")</f>
        <v/>
      </c>
      <c r="AS222" t="str">
        <f>IF(AG222=1,WEEKDAY(D222,2),"")</f>
        <v/>
      </c>
      <c r="AT222" s="31" t="str">
        <f>IF(AG222=1,DATE(YEAR(D222),MONTH(D222),1),"")</f>
        <v/>
      </c>
      <c r="AU222">
        <f>IF(AG222=0,0,IF(AND(OR('Prop challenge'!$D$7="",F222='Prop challenge'!$D$7),OR('Prop challenge'!$D$9="",D222&gt;='Prop challenge'!$D$9)),1,0))</f>
        <v>0</v>
      </c>
      <c r="AV222">
        <f>IF(AU222=1,IF(COUNTIFS($D$5:D222,D222,$AU$5:AU222,1)=1,1,0),0)</f>
        <v>0</v>
      </c>
      <c r="AW222" t="str">
        <f>IF(AV222=1,SUM($AV$5:AV222),"")</f>
        <v/>
      </c>
      <c r="AX222" t="str">
        <f>IF(AV222=1,SUMIFS($R$5:$R$504,$D$5:$D$504,D222,$AU$5:$AU$504,1),"")</f>
        <v/>
      </c>
    </row>
    <row r="223">
      <c r="A223" s="20" t="str">
        <f>IF(AG223=1,ROW()-4,"")</f>
        <v/>
      </c>
      <c r="B223" s="21" t="n"/>
      <c r="C223" s="22" t="n"/>
      <c r="D223" s="21" t="n"/>
      <c r="E223" s="22" t="n"/>
      <c r="F223" s="23" t="n"/>
      <c r="G223" s="23" t="n"/>
      <c r="H223" s="23" t="n"/>
      <c r="I223" s="24" t="n"/>
      <c r="J223" s="25" t="n"/>
      <c r="K223" s="25" t="n"/>
      <c r="L223" s="25" t="n"/>
      <c r="M223" s="25" t="n"/>
      <c r="N223" s="26" t="n"/>
      <c r="O223" s="26" t="n"/>
      <c r="P223" s="27" t="str">
        <f>IF(OR(J223="",K223="",I223="",AF223=0,AD223=""),"",(K223-J223)*AF223*I223*AD223*AE223)</f>
        <v/>
      </c>
      <c r="Q223" s="26" t="n"/>
      <c r="R223" s="28" t="str">
        <f>IF(Q223&lt;&gt;"",Q223,IF(P223="","",P223-N(N223)+N(O223)))</f>
        <v/>
      </c>
      <c r="S223" s="27" t="str">
        <f>IF(OR(L223="",J223="",I223="",AD223=""),"",ABS(J223-L223)*I223*AD223*AE223)</f>
        <v/>
      </c>
      <c r="T223" s="29" t="str">
        <f>IF(OR(R223="",S223="",S223=0),"",R223/S223)</f>
        <v/>
      </c>
      <c r="U223" s="20" t="str">
        <f>IF(R223="","",IF(R223&gt;0,"Ganadora",IF(R223&lt;0,"Perdedora","BE")))</f>
        <v/>
      </c>
      <c r="V223" s="23" t="n"/>
      <c r="W223" s="23" t="n"/>
      <c r="X223" s="23" t="n"/>
      <c r="Y223" s="23" t="n"/>
      <c r="Z223" s="23" t="n"/>
      <c r="AA223" s="23" t="n"/>
      <c r="AB223" s="30" t="n"/>
      <c r="AC223" s="1" t="n"/>
      <c r="AD223" s="1" t="str">
        <f>IF(G223="","",IFERROR(INDEX('Listas'!$N$6:$N$35,MATCH(G223,'Listas'!$M$6:$M$35,0)),""))</f>
        <v/>
      </c>
      <c r="AE223">
        <f>IF(G223="",1,IFERROR(INDEX('Listas'!$P$6:$P$35,MATCH(G223,'Listas'!$M$6:$M$35,0)),1))</f>
        <v>1</v>
      </c>
      <c r="AF223">
        <f>IF(H223="Compra",1,IF(H223="Venta",-1,0))</f>
        <v>0</v>
      </c>
      <c r="AG223">
        <f>IF(AND(D223&lt;&gt;"",ISNUMBER(R223)),1,0)</f>
        <v>0</v>
      </c>
      <c r="AH223">
        <f>IF(AG223=0,0,IF(OR('Panel'!$D$5="Todas las cuentas",'Panel'!$D$5="",F223='Panel'!$D$5),1,0))</f>
        <v>0</v>
      </c>
      <c r="AI223">
        <f>IF(AH223=0,0,IF(AND(OR('Panel'!$G$5="",D223&gt;='Panel'!$G$5),OR('Panel'!$J$5="",D223&lt;='Panel'!$J$5)),1,0))</f>
        <v>0</v>
      </c>
      <c r="AJ223">
        <f>IF(AI223=1,R223,0)</f>
        <v>0</v>
      </c>
      <c r="AK223" t="str">
        <f>IF(AI223=1,'Panel'!$AB$4+SUM($AJ$5:AJ223),"")</f>
        <v/>
      </c>
      <c r="AL223">
        <f>IF(AI223=0,N(AL222),IF(R223&lt;0,N(AL222)+1,0))</f>
        <v>1</v>
      </c>
      <c r="AM223">
        <f>IF(AI223=0,N(AM222),IF(R223&gt;0,N(AM222)+1,0))</f>
        <v>0</v>
      </c>
      <c r="AN223">
        <f>IF(AI223=1,MAX('Panel'!$AB$4,N(AN222),AK223),N(AN222))</f>
        <v>21371.061500000033</v>
      </c>
      <c r="AO223">
        <f>IF(AI223=1,AN223-AK223,0)</f>
        <v>0</v>
      </c>
      <c r="AP223">
        <f>IF(AND(AI223=1,AN223&gt;0),AO223/AN223,0)</f>
        <v>0</v>
      </c>
      <c r="AQ223" t="str">
        <f>IF(AI223=1,SUM($AI$5:AI223),"")</f>
        <v/>
      </c>
      <c r="AR223" t="str">
        <f>IF(AI223=1,IF(COUNTIFS($D$5:D223,D223,$AI$5:AI223,1)=1,SUMIFS($AJ$5:$AJ$504,$D$5:$D$504,D223),""),"")</f>
        <v/>
      </c>
      <c r="AS223" t="str">
        <f>IF(AG223=1,WEEKDAY(D223,2),"")</f>
        <v/>
      </c>
      <c r="AT223" s="31" t="str">
        <f>IF(AG223=1,DATE(YEAR(D223),MONTH(D223),1),"")</f>
        <v/>
      </c>
      <c r="AU223">
        <f>IF(AG223=0,0,IF(AND(OR('Prop challenge'!$D$7="",F223='Prop challenge'!$D$7),OR('Prop challenge'!$D$9="",D223&gt;='Prop challenge'!$D$9)),1,0))</f>
        <v>0</v>
      </c>
      <c r="AV223">
        <f>IF(AU223=1,IF(COUNTIFS($D$5:D223,D223,$AU$5:AU223,1)=1,1,0),0)</f>
        <v>0</v>
      </c>
      <c r="AW223" t="str">
        <f>IF(AV223=1,SUM($AV$5:AV223),"")</f>
        <v/>
      </c>
      <c r="AX223" t="str">
        <f>IF(AV223=1,SUMIFS($R$5:$R$504,$D$5:$D$504,D223,$AU$5:$AU$504,1),"")</f>
        <v/>
      </c>
    </row>
    <row r="224">
      <c r="A224" s="20" t="str">
        <f>IF(AG224=1,ROW()-4,"")</f>
        <v/>
      </c>
      <c r="B224" s="21" t="n"/>
      <c r="C224" s="22" t="n"/>
      <c r="D224" s="21" t="n"/>
      <c r="E224" s="22" t="n"/>
      <c r="F224" s="23" t="n"/>
      <c r="G224" s="23" t="n"/>
      <c r="H224" s="23" t="n"/>
      <c r="I224" s="24" t="n"/>
      <c r="J224" s="25" t="n"/>
      <c r="K224" s="25" t="n"/>
      <c r="L224" s="25" t="n"/>
      <c r="M224" s="25" t="n"/>
      <c r="N224" s="26" t="n"/>
      <c r="O224" s="26" t="n"/>
      <c r="P224" s="27" t="str">
        <f>IF(OR(J224="",K224="",I224="",AF224=0,AD224=""),"",(K224-J224)*AF224*I224*AD224*AE224)</f>
        <v/>
      </c>
      <c r="Q224" s="26" t="n"/>
      <c r="R224" s="28" t="str">
        <f>IF(Q224&lt;&gt;"",Q224,IF(P224="","",P224-N(N224)+N(O224)))</f>
        <v/>
      </c>
      <c r="S224" s="27" t="str">
        <f>IF(OR(L224="",J224="",I224="",AD224=""),"",ABS(J224-L224)*I224*AD224*AE224)</f>
        <v/>
      </c>
      <c r="T224" s="29" t="str">
        <f>IF(OR(R224="",S224="",S224=0),"",R224/S224)</f>
        <v/>
      </c>
      <c r="U224" s="20" t="str">
        <f>IF(R224="","",IF(R224&gt;0,"Ganadora",IF(R224&lt;0,"Perdedora","BE")))</f>
        <v/>
      </c>
      <c r="V224" s="23" t="n"/>
      <c r="W224" s="23" t="n"/>
      <c r="X224" s="23" t="n"/>
      <c r="Y224" s="23" t="n"/>
      <c r="Z224" s="23" t="n"/>
      <c r="AA224" s="23" t="n"/>
      <c r="AB224" s="30" t="n"/>
      <c r="AC224" s="1" t="n"/>
      <c r="AD224" s="1" t="str">
        <f>IF(G224="","",IFERROR(INDEX('Listas'!$N$6:$N$35,MATCH(G224,'Listas'!$M$6:$M$35,0)),""))</f>
        <v/>
      </c>
      <c r="AE224">
        <f>IF(G224="",1,IFERROR(INDEX('Listas'!$P$6:$P$35,MATCH(G224,'Listas'!$M$6:$M$35,0)),1))</f>
        <v>1</v>
      </c>
      <c r="AF224">
        <f>IF(H224="Compra",1,IF(H224="Venta",-1,0))</f>
        <v>0</v>
      </c>
      <c r="AG224">
        <f>IF(AND(D224&lt;&gt;"",ISNUMBER(R224)),1,0)</f>
        <v>0</v>
      </c>
      <c r="AH224">
        <f>IF(AG224=0,0,IF(OR('Panel'!$D$5="Todas las cuentas",'Panel'!$D$5="",F224='Panel'!$D$5),1,0))</f>
        <v>0</v>
      </c>
      <c r="AI224">
        <f>IF(AH224=0,0,IF(AND(OR('Panel'!$G$5="",D224&gt;='Panel'!$G$5),OR('Panel'!$J$5="",D224&lt;='Panel'!$J$5)),1,0))</f>
        <v>0</v>
      </c>
      <c r="AJ224">
        <f>IF(AI224=1,R224,0)</f>
        <v>0</v>
      </c>
      <c r="AK224" t="str">
        <f>IF(AI224=1,'Panel'!$AB$4+SUM($AJ$5:AJ224),"")</f>
        <v/>
      </c>
      <c r="AL224">
        <f>IF(AI224=0,N(AL223),IF(R224&lt;0,N(AL223)+1,0))</f>
        <v>1</v>
      </c>
      <c r="AM224">
        <f>IF(AI224=0,N(AM223),IF(R224&gt;0,N(AM223)+1,0))</f>
        <v>0</v>
      </c>
      <c r="AN224">
        <f>IF(AI224=1,MAX('Panel'!$AB$4,N(AN223),AK224),N(AN223))</f>
        <v>21371.061500000033</v>
      </c>
      <c r="AO224">
        <f>IF(AI224=1,AN224-AK224,0)</f>
        <v>0</v>
      </c>
      <c r="AP224">
        <f>IF(AND(AI224=1,AN224&gt;0),AO224/AN224,0)</f>
        <v>0</v>
      </c>
      <c r="AQ224" t="str">
        <f>IF(AI224=1,SUM($AI$5:AI224),"")</f>
        <v/>
      </c>
      <c r="AR224" t="str">
        <f>IF(AI224=1,IF(COUNTIFS($D$5:D224,D224,$AI$5:AI224,1)=1,SUMIFS($AJ$5:$AJ$504,$D$5:$D$504,D224),""),"")</f>
        <v/>
      </c>
      <c r="AS224" t="str">
        <f>IF(AG224=1,WEEKDAY(D224,2),"")</f>
        <v/>
      </c>
      <c r="AT224" s="31" t="str">
        <f>IF(AG224=1,DATE(YEAR(D224),MONTH(D224),1),"")</f>
        <v/>
      </c>
      <c r="AU224">
        <f>IF(AG224=0,0,IF(AND(OR('Prop challenge'!$D$7="",F224='Prop challenge'!$D$7),OR('Prop challenge'!$D$9="",D224&gt;='Prop challenge'!$D$9)),1,0))</f>
        <v>0</v>
      </c>
      <c r="AV224">
        <f>IF(AU224=1,IF(COUNTIFS($D$5:D224,D224,$AU$5:AU224,1)=1,1,0),0)</f>
        <v>0</v>
      </c>
      <c r="AW224" t="str">
        <f>IF(AV224=1,SUM($AV$5:AV224),"")</f>
        <v/>
      </c>
      <c r="AX224" t="str">
        <f>IF(AV224=1,SUMIFS($R$5:$R$504,$D$5:$D$504,D224,$AU$5:$AU$504,1),"")</f>
        <v/>
      </c>
    </row>
    <row r="225">
      <c r="A225" s="20" t="str">
        <f>IF(AG225=1,ROW()-4,"")</f>
        <v/>
      </c>
      <c r="B225" s="21" t="n"/>
      <c r="C225" s="22" t="n"/>
      <c r="D225" s="21" t="n"/>
      <c r="E225" s="22" t="n"/>
      <c r="F225" s="23" t="n"/>
      <c r="G225" s="23" t="n"/>
      <c r="H225" s="23" t="n"/>
      <c r="I225" s="24" t="n"/>
      <c r="J225" s="25" t="n"/>
      <c r="K225" s="25" t="n"/>
      <c r="L225" s="25" t="n"/>
      <c r="M225" s="25" t="n"/>
      <c r="N225" s="26" t="n"/>
      <c r="O225" s="26" t="n"/>
      <c r="P225" s="27" t="str">
        <f>IF(OR(J225="",K225="",I225="",AF225=0,AD225=""),"",(K225-J225)*AF225*I225*AD225*AE225)</f>
        <v/>
      </c>
      <c r="Q225" s="26" t="n"/>
      <c r="R225" s="28" t="str">
        <f>IF(Q225&lt;&gt;"",Q225,IF(P225="","",P225-N(N225)+N(O225)))</f>
        <v/>
      </c>
      <c r="S225" s="27" t="str">
        <f>IF(OR(L225="",J225="",I225="",AD225=""),"",ABS(J225-L225)*I225*AD225*AE225)</f>
        <v/>
      </c>
      <c r="T225" s="29" t="str">
        <f>IF(OR(R225="",S225="",S225=0),"",R225/S225)</f>
        <v/>
      </c>
      <c r="U225" s="20" t="str">
        <f>IF(R225="","",IF(R225&gt;0,"Ganadora",IF(R225&lt;0,"Perdedora","BE")))</f>
        <v/>
      </c>
      <c r="V225" s="23" t="n"/>
      <c r="W225" s="23" t="n"/>
      <c r="X225" s="23" t="n"/>
      <c r="Y225" s="23" t="n"/>
      <c r="Z225" s="23" t="n"/>
      <c r="AA225" s="23" t="n"/>
      <c r="AB225" s="30" t="n"/>
      <c r="AC225" s="1" t="n"/>
      <c r="AD225" s="1" t="str">
        <f>IF(G225="","",IFERROR(INDEX('Listas'!$N$6:$N$35,MATCH(G225,'Listas'!$M$6:$M$35,0)),""))</f>
        <v/>
      </c>
      <c r="AE225">
        <f>IF(G225="",1,IFERROR(INDEX('Listas'!$P$6:$P$35,MATCH(G225,'Listas'!$M$6:$M$35,0)),1))</f>
        <v>1</v>
      </c>
      <c r="AF225">
        <f>IF(H225="Compra",1,IF(H225="Venta",-1,0))</f>
        <v>0</v>
      </c>
      <c r="AG225">
        <f>IF(AND(D225&lt;&gt;"",ISNUMBER(R225)),1,0)</f>
        <v>0</v>
      </c>
      <c r="AH225">
        <f>IF(AG225=0,0,IF(OR('Panel'!$D$5="Todas las cuentas",'Panel'!$D$5="",F225='Panel'!$D$5),1,0))</f>
        <v>0</v>
      </c>
      <c r="AI225">
        <f>IF(AH225=0,0,IF(AND(OR('Panel'!$G$5="",D225&gt;='Panel'!$G$5),OR('Panel'!$J$5="",D225&lt;='Panel'!$J$5)),1,0))</f>
        <v>0</v>
      </c>
      <c r="AJ225">
        <f>IF(AI225=1,R225,0)</f>
        <v>0</v>
      </c>
      <c r="AK225" t="str">
        <f>IF(AI225=1,'Panel'!$AB$4+SUM($AJ$5:AJ225),"")</f>
        <v/>
      </c>
      <c r="AL225">
        <f>IF(AI225=0,N(AL224),IF(R225&lt;0,N(AL224)+1,0))</f>
        <v>1</v>
      </c>
      <c r="AM225">
        <f>IF(AI225=0,N(AM224),IF(R225&gt;0,N(AM224)+1,0))</f>
        <v>0</v>
      </c>
      <c r="AN225">
        <f>IF(AI225=1,MAX('Panel'!$AB$4,N(AN224),AK225),N(AN224))</f>
        <v>21371.061500000033</v>
      </c>
      <c r="AO225">
        <f>IF(AI225=1,AN225-AK225,0)</f>
        <v>0</v>
      </c>
      <c r="AP225">
        <f>IF(AND(AI225=1,AN225&gt;0),AO225/AN225,0)</f>
        <v>0</v>
      </c>
      <c r="AQ225" t="str">
        <f>IF(AI225=1,SUM($AI$5:AI225),"")</f>
        <v/>
      </c>
      <c r="AR225" t="str">
        <f>IF(AI225=1,IF(COUNTIFS($D$5:D225,D225,$AI$5:AI225,1)=1,SUMIFS($AJ$5:$AJ$504,$D$5:$D$504,D225),""),"")</f>
        <v/>
      </c>
      <c r="AS225" t="str">
        <f>IF(AG225=1,WEEKDAY(D225,2),"")</f>
        <v/>
      </c>
      <c r="AT225" s="31" t="str">
        <f>IF(AG225=1,DATE(YEAR(D225),MONTH(D225),1),"")</f>
        <v/>
      </c>
      <c r="AU225">
        <f>IF(AG225=0,0,IF(AND(OR('Prop challenge'!$D$7="",F225='Prop challenge'!$D$7),OR('Prop challenge'!$D$9="",D225&gt;='Prop challenge'!$D$9)),1,0))</f>
        <v>0</v>
      </c>
      <c r="AV225">
        <f>IF(AU225=1,IF(COUNTIFS($D$5:D225,D225,$AU$5:AU225,1)=1,1,0),0)</f>
        <v>0</v>
      </c>
      <c r="AW225" t="str">
        <f>IF(AV225=1,SUM($AV$5:AV225),"")</f>
        <v/>
      </c>
      <c r="AX225" t="str">
        <f>IF(AV225=1,SUMIFS($R$5:$R$504,$D$5:$D$504,D225,$AU$5:$AU$504,1),"")</f>
        <v/>
      </c>
    </row>
    <row r="226">
      <c r="A226" s="20" t="str">
        <f>IF(AG226=1,ROW()-4,"")</f>
        <v/>
      </c>
      <c r="B226" s="21" t="n"/>
      <c r="C226" s="22" t="n"/>
      <c r="D226" s="21" t="n"/>
      <c r="E226" s="22" t="n"/>
      <c r="F226" s="23" t="n"/>
      <c r="G226" s="23" t="n"/>
      <c r="H226" s="23" t="n"/>
      <c r="I226" s="24" t="n"/>
      <c r="J226" s="25" t="n"/>
      <c r="K226" s="25" t="n"/>
      <c r="L226" s="25" t="n"/>
      <c r="M226" s="25" t="n"/>
      <c r="N226" s="26" t="n"/>
      <c r="O226" s="26" t="n"/>
      <c r="P226" s="27" t="str">
        <f>IF(OR(J226="",K226="",I226="",AF226=0,AD226=""),"",(K226-J226)*AF226*I226*AD226*AE226)</f>
        <v/>
      </c>
      <c r="Q226" s="26" t="n"/>
      <c r="R226" s="28" t="str">
        <f>IF(Q226&lt;&gt;"",Q226,IF(P226="","",P226-N(N226)+N(O226)))</f>
        <v/>
      </c>
      <c r="S226" s="27" t="str">
        <f>IF(OR(L226="",J226="",I226="",AD226=""),"",ABS(J226-L226)*I226*AD226*AE226)</f>
        <v/>
      </c>
      <c r="T226" s="29" t="str">
        <f>IF(OR(R226="",S226="",S226=0),"",R226/S226)</f>
        <v/>
      </c>
      <c r="U226" s="20" t="str">
        <f>IF(R226="","",IF(R226&gt;0,"Ganadora",IF(R226&lt;0,"Perdedora","BE")))</f>
        <v/>
      </c>
      <c r="V226" s="23" t="n"/>
      <c r="W226" s="23" t="n"/>
      <c r="X226" s="23" t="n"/>
      <c r="Y226" s="23" t="n"/>
      <c r="Z226" s="23" t="n"/>
      <c r="AA226" s="23" t="n"/>
      <c r="AB226" s="30" t="n"/>
      <c r="AC226" s="1" t="n"/>
      <c r="AD226" s="1" t="str">
        <f>IF(G226="","",IFERROR(INDEX('Listas'!$N$6:$N$35,MATCH(G226,'Listas'!$M$6:$M$35,0)),""))</f>
        <v/>
      </c>
      <c r="AE226">
        <f>IF(G226="",1,IFERROR(INDEX('Listas'!$P$6:$P$35,MATCH(G226,'Listas'!$M$6:$M$35,0)),1))</f>
        <v>1</v>
      </c>
      <c r="AF226">
        <f>IF(H226="Compra",1,IF(H226="Venta",-1,0))</f>
        <v>0</v>
      </c>
      <c r="AG226">
        <f>IF(AND(D226&lt;&gt;"",ISNUMBER(R226)),1,0)</f>
        <v>0</v>
      </c>
      <c r="AH226">
        <f>IF(AG226=0,0,IF(OR('Panel'!$D$5="Todas las cuentas",'Panel'!$D$5="",F226='Panel'!$D$5),1,0))</f>
        <v>0</v>
      </c>
      <c r="AI226">
        <f>IF(AH226=0,0,IF(AND(OR('Panel'!$G$5="",D226&gt;='Panel'!$G$5),OR('Panel'!$J$5="",D226&lt;='Panel'!$J$5)),1,0))</f>
        <v>0</v>
      </c>
      <c r="AJ226">
        <f>IF(AI226=1,R226,0)</f>
        <v>0</v>
      </c>
      <c r="AK226" t="str">
        <f>IF(AI226=1,'Panel'!$AB$4+SUM($AJ$5:AJ226),"")</f>
        <v/>
      </c>
      <c r="AL226">
        <f>IF(AI226=0,N(AL225),IF(R226&lt;0,N(AL225)+1,0))</f>
        <v>1</v>
      </c>
      <c r="AM226">
        <f>IF(AI226=0,N(AM225),IF(R226&gt;0,N(AM225)+1,0))</f>
        <v>0</v>
      </c>
      <c r="AN226">
        <f>IF(AI226=1,MAX('Panel'!$AB$4,N(AN225),AK226),N(AN225))</f>
        <v>21371.061500000033</v>
      </c>
      <c r="AO226">
        <f>IF(AI226=1,AN226-AK226,0)</f>
        <v>0</v>
      </c>
      <c r="AP226">
        <f>IF(AND(AI226=1,AN226&gt;0),AO226/AN226,0)</f>
        <v>0</v>
      </c>
      <c r="AQ226" t="str">
        <f>IF(AI226=1,SUM($AI$5:AI226),"")</f>
        <v/>
      </c>
      <c r="AR226" t="str">
        <f>IF(AI226=1,IF(COUNTIFS($D$5:D226,D226,$AI$5:AI226,1)=1,SUMIFS($AJ$5:$AJ$504,$D$5:$D$504,D226),""),"")</f>
        <v/>
      </c>
      <c r="AS226" t="str">
        <f>IF(AG226=1,WEEKDAY(D226,2),"")</f>
        <v/>
      </c>
      <c r="AT226" s="31" t="str">
        <f>IF(AG226=1,DATE(YEAR(D226),MONTH(D226),1),"")</f>
        <v/>
      </c>
      <c r="AU226">
        <f>IF(AG226=0,0,IF(AND(OR('Prop challenge'!$D$7="",F226='Prop challenge'!$D$7),OR('Prop challenge'!$D$9="",D226&gt;='Prop challenge'!$D$9)),1,0))</f>
        <v>0</v>
      </c>
      <c r="AV226">
        <f>IF(AU226=1,IF(COUNTIFS($D$5:D226,D226,$AU$5:AU226,1)=1,1,0),0)</f>
        <v>0</v>
      </c>
      <c r="AW226" t="str">
        <f>IF(AV226=1,SUM($AV$5:AV226),"")</f>
        <v/>
      </c>
      <c r="AX226" t="str">
        <f>IF(AV226=1,SUMIFS($R$5:$R$504,$D$5:$D$504,D226,$AU$5:$AU$504,1),"")</f>
        <v/>
      </c>
    </row>
    <row r="227">
      <c r="A227" s="20" t="str">
        <f>IF(AG227=1,ROW()-4,"")</f>
        <v/>
      </c>
      <c r="B227" s="21" t="n"/>
      <c r="C227" s="22" t="n"/>
      <c r="D227" s="21" t="n"/>
      <c r="E227" s="22" t="n"/>
      <c r="F227" s="23" t="n"/>
      <c r="G227" s="23" t="n"/>
      <c r="H227" s="23" t="n"/>
      <c r="I227" s="24" t="n"/>
      <c r="J227" s="25" t="n"/>
      <c r="K227" s="25" t="n"/>
      <c r="L227" s="25" t="n"/>
      <c r="M227" s="25" t="n"/>
      <c r="N227" s="26" t="n"/>
      <c r="O227" s="26" t="n"/>
      <c r="P227" s="27" t="str">
        <f>IF(OR(J227="",K227="",I227="",AF227=0,AD227=""),"",(K227-J227)*AF227*I227*AD227*AE227)</f>
        <v/>
      </c>
      <c r="Q227" s="26" t="n"/>
      <c r="R227" s="28" t="str">
        <f>IF(Q227&lt;&gt;"",Q227,IF(P227="","",P227-N(N227)+N(O227)))</f>
        <v/>
      </c>
      <c r="S227" s="27" t="str">
        <f>IF(OR(L227="",J227="",I227="",AD227=""),"",ABS(J227-L227)*I227*AD227*AE227)</f>
        <v/>
      </c>
      <c r="T227" s="29" t="str">
        <f>IF(OR(R227="",S227="",S227=0),"",R227/S227)</f>
        <v/>
      </c>
      <c r="U227" s="20" t="str">
        <f>IF(R227="","",IF(R227&gt;0,"Ganadora",IF(R227&lt;0,"Perdedora","BE")))</f>
        <v/>
      </c>
      <c r="V227" s="23" t="n"/>
      <c r="W227" s="23" t="n"/>
      <c r="X227" s="23" t="n"/>
      <c r="Y227" s="23" t="n"/>
      <c r="Z227" s="23" t="n"/>
      <c r="AA227" s="23" t="n"/>
      <c r="AB227" s="30" t="n"/>
      <c r="AC227" s="1" t="n"/>
      <c r="AD227" s="1" t="str">
        <f>IF(G227="","",IFERROR(INDEX('Listas'!$N$6:$N$35,MATCH(G227,'Listas'!$M$6:$M$35,0)),""))</f>
        <v/>
      </c>
      <c r="AE227">
        <f>IF(G227="",1,IFERROR(INDEX('Listas'!$P$6:$P$35,MATCH(G227,'Listas'!$M$6:$M$35,0)),1))</f>
        <v>1</v>
      </c>
      <c r="AF227">
        <f>IF(H227="Compra",1,IF(H227="Venta",-1,0))</f>
        <v>0</v>
      </c>
      <c r="AG227">
        <f>IF(AND(D227&lt;&gt;"",ISNUMBER(R227)),1,0)</f>
        <v>0</v>
      </c>
      <c r="AH227">
        <f>IF(AG227=0,0,IF(OR('Panel'!$D$5="Todas las cuentas",'Panel'!$D$5="",F227='Panel'!$D$5),1,0))</f>
        <v>0</v>
      </c>
      <c r="AI227">
        <f>IF(AH227=0,0,IF(AND(OR('Panel'!$G$5="",D227&gt;='Panel'!$G$5),OR('Panel'!$J$5="",D227&lt;='Panel'!$J$5)),1,0))</f>
        <v>0</v>
      </c>
      <c r="AJ227">
        <f>IF(AI227=1,R227,0)</f>
        <v>0</v>
      </c>
      <c r="AK227" t="str">
        <f>IF(AI227=1,'Panel'!$AB$4+SUM($AJ$5:AJ227),"")</f>
        <v/>
      </c>
      <c r="AL227">
        <f>IF(AI227=0,N(AL226),IF(R227&lt;0,N(AL226)+1,0))</f>
        <v>1</v>
      </c>
      <c r="AM227">
        <f>IF(AI227=0,N(AM226),IF(R227&gt;0,N(AM226)+1,0))</f>
        <v>0</v>
      </c>
      <c r="AN227">
        <f>IF(AI227=1,MAX('Panel'!$AB$4,N(AN226),AK227),N(AN226))</f>
        <v>21371.061500000033</v>
      </c>
      <c r="AO227">
        <f>IF(AI227=1,AN227-AK227,0)</f>
        <v>0</v>
      </c>
      <c r="AP227">
        <f>IF(AND(AI227=1,AN227&gt;0),AO227/AN227,0)</f>
        <v>0</v>
      </c>
      <c r="AQ227" t="str">
        <f>IF(AI227=1,SUM($AI$5:AI227),"")</f>
        <v/>
      </c>
      <c r="AR227" t="str">
        <f>IF(AI227=1,IF(COUNTIFS($D$5:D227,D227,$AI$5:AI227,1)=1,SUMIFS($AJ$5:$AJ$504,$D$5:$D$504,D227),""),"")</f>
        <v/>
      </c>
      <c r="AS227" t="str">
        <f>IF(AG227=1,WEEKDAY(D227,2),"")</f>
        <v/>
      </c>
      <c r="AT227" s="31" t="str">
        <f>IF(AG227=1,DATE(YEAR(D227),MONTH(D227),1),"")</f>
        <v/>
      </c>
      <c r="AU227">
        <f>IF(AG227=0,0,IF(AND(OR('Prop challenge'!$D$7="",F227='Prop challenge'!$D$7),OR('Prop challenge'!$D$9="",D227&gt;='Prop challenge'!$D$9)),1,0))</f>
        <v>0</v>
      </c>
      <c r="AV227">
        <f>IF(AU227=1,IF(COUNTIFS($D$5:D227,D227,$AU$5:AU227,1)=1,1,0),0)</f>
        <v>0</v>
      </c>
      <c r="AW227" t="str">
        <f>IF(AV227=1,SUM($AV$5:AV227),"")</f>
        <v/>
      </c>
      <c r="AX227" t="str">
        <f>IF(AV227=1,SUMIFS($R$5:$R$504,$D$5:$D$504,D227,$AU$5:$AU$504,1),"")</f>
        <v/>
      </c>
    </row>
    <row r="228">
      <c r="A228" s="20" t="str">
        <f>IF(AG228=1,ROW()-4,"")</f>
        <v/>
      </c>
      <c r="B228" s="21" t="n"/>
      <c r="C228" s="22" t="n"/>
      <c r="D228" s="21" t="n"/>
      <c r="E228" s="22" t="n"/>
      <c r="F228" s="23" t="n"/>
      <c r="G228" s="23" t="n"/>
      <c r="H228" s="23" t="n"/>
      <c r="I228" s="24" t="n"/>
      <c r="J228" s="25" t="n"/>
      <c r="K228" s="25" t="n"/>
      <c r="L228" s="25" t="n"/>
      <c r="M228" s="25" t="n"/>
      <c r="N228" s="26" t="n"/>
      <c r="O228" s="26" t="n"/>
      <c r="P228" s="27" t="str">
        <f>IF(OR(J228="",K228="",I228="",AF228=0,AD228=""),"",(K228-J228)*AF228*I228*AD228*AE228)</f>
        <v/>
      </c>
      <c r="Q228" s="26" t="n"/>
      <c r="R228" s="28" t="str">
        <f>IF(Q228&lt;&gt;"",Q228,IF(P228="","",P228-N(N228)+N(O228)))</f>
        <v/>
      </c>
      <c r="S228" s="27" t="str">
        <f>IF(OR(L228="",J228="",I228="",AD228=""),"",ABS(J228-L228)*I228*AD228*AE228)</f>
        <v/>
      </c>
      <c r="T228" s="29" t="str">
        <f>IF(OR(R228="",S228="",S228=0),"",R228/S228)</f>
        <v/>
      </c>
      <c r="U228" s="20" t="str">
        <f>IF(R228="","",IF(R228&gt;0,"Ganadora",IF(R228&lt;0,"Perdedora","BE")))</f>
        <v/>
      </c>
      <c r="V228" s="23" t="n"/>
      <c r="W228" s="23" t="n"/>
      <c r="X228" s="23" t="n"/>
      <c r="Y228" s="23" t="n"/>
      <c r="Z228" s="23" t="n"/>
      <c r="AA228" s="23" t="n"/>
      <c r="AB228" s="30" t="n"/>
      <c r="AC228" s="1" t="n"/>
      <c r="AD228" s="1" t="str">
        <f>IF(G228="","",IFERROR(INDEX('Listas'!$N$6:$N$35,MATCH(G228,'Listas'!$M$6:$M$35,0)),""))</f>
        <v/>
      </c>
      <c r="AE228">
        <f>IF(G228="",1,IFERROR(INDEX('Listas'!$P$6:$P$35,MATCH(G228,'Listas'!$M$6:$M$35,0)),1))</f>
        <v>1</v>
      </c>
      <c r="AF228">
        <f>IF(H228="Compra",1,IF(H228="Venta",-1,0))</f>
        <v>0</v>
      </c>
      <c r="AG228">
        <f>IF(AND(D228&lt;&gt;"",ISNUMBER(R228)),1,0)</f>
        <v>0</v>
      </c>
      <c r="AH228">
        <f>IF(AG228=0,0,IF(OR('Panel'!$D$5="Todas las cuentas",'Panel'!$D$5="",F228='Panel'!$D$5),1,0))</f>
        <v>0</v>
      </c>
      <c r="AI228">
        <f>IF(AH228=0,0,IF(AND(OR('Panel'!$G$5="",D228&gt;='Panel'!$G$5),OR('Panel'!$J$5="",D228&lt;='Panel'!$J$5)),1,0))</f>
        <v>0</v>
      </c>
      <c r="AJ228">
        <f>IF(AI228=1,R228,0)</f>
        <v>0</v>
      </c>
      <c r="AK228" t="str">
        <f>IF(AI228=1,'Panel'!$AB$4+SUM($AJ$5:AJ228),"")</f>
        <v/>
      </c>
      <c r="AL228">
        <f>IF(AI228=0,N(AL227),IF(R228&lt;0,N(AL227)+1,0))</f>
        <v>1</v>
      </c>
      <c r="AM228">
        <f>IF(AI228=0,N(AM227),IF(R228&gt;0,N(AM227)+1,0))</f>
        <v>0</v>
      </c>
      <c r="AN228">
        <f>IF(AI228=1,MAX('Panel'!$AB$4,N(AN227),AK228),N(AN227))</f>
        <v>21371.061500000033</v>
      </c>
      <c r="AO228">
        <f>IF(AI228=1,AN228-AK228,0)</f>
        <v>0</v>
      </c>
      <c r="AP228">
        <f>IF(AND(AI228=1,AN228&gt;0),AO228/AN228,0)</f>
        <v>0</v>
      </c>
      <c r="AQ228" t="str">
        <f>IF(AI228=1,SUM($AI$5:AI228),"")</f>
        <v/>
      </c>
      <c r="AR228" t="str">
        <f>IF(AI228=1,IF(COUNTIFS($D$5:D228,D228,$AI$5:AI228,1)=1,SUMIFS($AJ$5:$AJ$504,$D$5:$D$504,D228),""),"")</f>
        <v/>
      </c>
      <c r="AS228" t="str">
        <f>IF(AG228=1,WEEKDAY(D228,2),"")</f>
        <v/>
      </c>
      <c r="AT228" s="31" t="str">
        <f>IF(AG228=1,DATE(YEAR(D228),MONTH(D228),1),"")</f>
        <v/>
      </c>
      <c r="AU228">
        <f>IF(AG228=0,0,IF(AND(OR('Prop challenge'!$D$7="",F228='Prop challenge'!$D$7),OR('Prop challenge'!$D$9="",D228&gt;='Prop challenge'!$D$9)),1,0))</f>
        <v>0</v>
      </c>
      <c r="AV228">
        <f>IF(AU228=1,IF(COUNTIFS($D$5:D228,D228,$AU$5:AU228,1)=1,1,0),0)</f>
        <v>0</v>
      </c>
      <c r="AW228" t="str">
        <f>IF(AV228=1,SUM($AV$5:AV228),"")</f>
        <v/>
      </c>
      <c r="AX228" t="str">
        <f>IF(AV228=1,SUMIFS($R$5:$R$504,$D$5:$D$504,D228,$AU$5:$AU$504,1),"")</f>
        <v/>
      </c>
    </row>
    <row r="229">
      <c r="A229" s="20" t="str">
        <f>IF(AG229=1,ROW()-4,"")</f>
        <v/>
      </c>
      <c r="B229" s="21" t="n"/>
      <c r="C229" s="22" t="n"/>
      <c r="D229" s="21" t="n"/>
      <c r="E229" s="22" t="n"/>
      <c r="F229" s="23" t="n"/>
      <c r="G229" s="23" t="n"/>
      <c r="H229" s="23" t="n"/>
      <c r="I229" s="24" t="n"/>
      <c r="J229" s="25" t="n"/>
      <c r="K229" s="25" t="n"/>
      <c r="L229" s="25" t="n"/>
      <c r="M229" s="25" t="n"/>
      <c r="N229" s="26" t="n"/>
      <c r="O229" s="26" t="n"/>
      <c r="P229" s="27" t="str">
        <f>IF(OR(J229="",K229="",I229="",AF229=0,AD229=""),"",(K229-J229)*AF229*I229*AD229*AE229)</f>
        <v/>
      </c>
      <c r="Q229" s="26" t="n"/>
      <c r="R229" s="28" t="str">
        <f>IF(Q229&lt;&gt;"",Q229,IF(P229="","",P229-N(N229)+N(O229)))</f>
        <v/>
      </c>
      <c r="S229" s="27" t="str">
        <f>IF(OR(L229="",J229="",I229="",AD229=""),"",ABS(J229-L229)*I229*AD229*AE229)</f>
        <v/>
      </c>
      <c r="T229" s="29" t="str">
        <f>IF(OR(R229="",S229="",S229=0),"",R229/S229)</f>
        <v/>
      </c>
      <c r="U229" s="20" t="str">
        <f>IF(R229="","",IF(R229&gt;0,"Ganadora",IF(R229&lt;0,"Perdedora","BE")))</f>
        <v/>
      </c>
      <c r="V229" s="23" t="n"/>
      <c r="W229" s="23" t="n"/>
      <c r="X229" s="23" t="n"/>
      <c r="Y229" s="23" t="n"/>
      <c r="Z229" s="23" t="n"/>
      <c r="AA229" s="23" t="n"/>
      <c r="AB229" s="30" t="n"/>
      <c r="AC229" s="1" t="n"/>
      <c r="AD229" s="1" t="str">
        <f>IF(G229="","",IFERROR(INDEX('Listas'!$N$6:$N$35,MATCH(G229,'Listas'!$M$6:$M$35,0)),""))</f>
        <v/>
      </c>
      <c r="AE229">
        <f>IF(G229="",1,IFERROR(INDEX('Listas'!$P$6:$P$35,MATCH(G229,'Listas'!$M$6:$M$35,0)),1))</f>
        <v>1</v>
      </c>
      <c r="AF229">
        <f>IF(H229="Compra",1,IF(H229="Venta",-1,0))</f>
        <v>0</v>
      </c>
      <c r="AG229">
        <f>IF(AND(D229&lt;&gt;"",ISNUMBER(R229)),1,0)</f>
        <v>0</v>
      </c>
      <c r="AH229">
        <f>IF(AG229=0,0,IF(OR('Panel'!$D$5="Todas las cuentas",'Panel'!$D$5="",F229='Panel'!$D$5),1,0))</f>
        <v>0</v>
      </c>
      <c r="AI229">
        <f>IF(AH229=0,0,IF(AND(OR('Panel'!$G$5="",D229&gt;='Panel'!$G$5),OR('Panel'!$J$5="",D229&lt;='Panel'!$J$5)),1,0))</f>
        <v>0</v>
      </c>
      <c r="AJ229">
        <f>IF(AI229=1,R229,0)</f>
        <v>0</v>
      </c>
      <c r="AK229" t="str">
        <f>IF(AI229=1,'Panel'!$AB$4+SUM($AJ$5:AJ229),"")</f>
        <v/>
      </c>
      <c r="AL229">
        <f>IF(AI229=0,N(AL228),IF(R229&lt;0,N(AL228)+1,0))</f>
        <v>1</v>
      </c>
      <c r="AM229">
        <f>IF(AI229=0,N(AM228),IF(R229&gt;0,N(AM228)+1,0))</f>
        <v>0</v>
      </c>
      <c r="AN229">
        <f>IF(AI229=1,MAX('Panel'!$AB$4,N(AN228),AK229),N(AN228))</f>
        <v>21371.061500000033</v>
      </c>
      <c r="AO229">
        <f>IF(AI229=1,AN229-AK229,0)</f>
        <v>0</v>
      </c>
      <c r="AP229">
        <f>IF(AND(AI229=1,AN229&gt;0),AO229/AN229,0)</f>
        <v>0</v>
      </c>
      <c r="AQ229" t="str">
        <f>IF(AI229=1,SUM($AI$5:AI229),"")</f>
        <v/>
      </c>
      <c r="AR229" t="str">
        <f>IF(AI229=1,IF(COUNTIFS($D$5:D229,D229,$AI$5:AI229,1)=1,SUMIFS($AJ$5:$AJ$504,$D$5:$D$504,D229),""),"")</f>
        <v/>
      </c>
      <c r="AS229" t="str">
        <f>IF(AG229=1,WEEKDAY(D229,2),"")</f>
        <v/>
      </c>
      <c r="AT229" s="31" t="str">
        <f>IF(AG229=1,DATE(YEAR(D229),MONTH(D229),1),"")</f>
        <v/>
      </c>
      <c r="AU229">
        <f>IF(AG229=0,0,IF(AND(OR('Prop challenge'!$D$7="",F229='Prop challenge'!$D$7),OR('Prop challenge'!$D$9="",D229&gt;='Prop challenge'!$D$9)),1,0))</f>
        <v>0</v>
      </c>
      <c r="AV229">
        <f>IF(AU229=1,IF(COUNTIFS($D$5:D229,D229,$AU$5:AU229,1)=1,1,0),0)</f>
        <v>0</v>
      </c>
      <c r="AW229" t="str">
        <f>IF(AV229=1,SUM($AV$5:AV229),"")</f>
        <v/>
      </c>
      <c r="AX229" t="str">
        <f>IF(AV229=1,SUMIFS($R$5:$R$504,$D$5:$D$504,D229,$AU$5:$AU$504,1),"")</f>
        <v/>
      </c>
    </row>
    <row r="230">
      <c r="A230" s="20" t="str">
        <f>IF(AG230=1,ROW()-4,"")</f>
        <v/>
      </c>
      <c r="B230" s="21" t="n"/>
      <c r="C230" s="22" t="n"/>
      <c r="D230" s="21" t="n"/>
      <c r="E230" s="22" t="n"/>
      <c r="F230" s="23" t="n"/>
      <c r="G230" s="23" t="n"/>
      <c r="H230" s="23" t="n"/>
      <c r="I230" s="24" t="n"/>
      <c r="J230" s="25" t="n"/>
      <c r="K230" s="25" t="n"/>
      <c r="L230" s="25" t="n"/>
      <c r="M230" s="25" t="n"/>
      <c r="N230" s="26" t="n"/>
      <c r="O230" s="26" t="n"/>
      <c r="P230" s="27" t="str">
        <f>IF(OR(J230="",K230="",I230="",AF230=0,AD230=""),"",(K230-J230)*AF230*I230*AD230*AE230)</f>
        <v/>
      </c>
      <c r="Q230" s="26" t="n"/>
      <c r="R230" s="28" t="str">
        <f>IF(Q230&lt;&gt;"",Q230,IF(P230="","",P230-N(N230)+N(O230)))</f>
        <v/>
      </c>
      <c r="S230" s="27" t="str">
        <f>IF(OR(L230="",J230="",I230="",AD230=""),"",ABS(J230-L230)*I230*AD230*AE230)</f>
        <v/>
      </c>
      <c r="T230" s="29" t="str">
        <f>IF(OR(R230="",S230="",S230=0),"",R230/S230)</f>
        <v/>
      </c>
      <c r="U230" s="20" t="str">
        <f>IF(R230="","",IF(R230&gt;0,"Ganadora",IF(R230&lt;0,"Perdedora","BE")))</f>
        <v/>
      </c>
      <c r="V230" s="23" t="n"/>
      <c r="W230" s="23" t="n"/>
      <c r="X230" s="23" t="n"/>
      <c r="Y230" s="23" t="n"/>
      <c r="Z230" s="23" t="n"/>
      <c r="AA230" s="23" t="n"/>
      <c r="AB230" s="30" t="n"/>
      <c r="AC230" s="1" t="n"/>
      <c r="AD230" s="1" t="str">
        <f>IF(G230="","",IFERROR(INDEX('Listas'!$N$6:$N$35,MATCH(G230,'Listas'!$M$6:$M$35,0)),""))</f>
        <v/>
      </c>
      <c r="AE230">
        <f>IF(G230="",1,IFERROR(INDEX('Listas'!$P$6:$P$35,MATCH(G230,'Listas'!$M$6:$M$35,0)),1))</f>
        <v>1</v>
      </c>
      <c r="AF230">
        <f>IF(H230="Compra",1,IF(H230="Venta",-1,0))</f>
        <v>0</v>
      </c>
      <c r="AG230">
        <f>IF(AND(D230&lt;&gt;"",ISNUMBER(R230)),1,0)</f>
        <v>0</v>
      </c>
      <c r="AH230">
        <f>IF(AG230=0,0,IF(OR('Panel'!$D$5="Todas las cuentas",'Panel'!$D$5="",F230='Panel'!$D$5),1,0))</f>
        <v>0</v>
      </c>
      <c r="AI230">
        <f>IF(AH230=0,0,IF(AND(OR('Panel'!$G$5="",D230&gt;='Panel'!$G$5),OR('Panel'!$J$5="",D230&lt;='Panel'!$J$5)),1,0))</f>
        <v>0</v>
      </c>
      <c r="AJ230">
        <f>IF(AI230=1,R230,0)</f>
        <v>0</v>
      </c>
      <c r="AK230" t="str">
        <f>IF(AI230=1,'Panel'!$AB$4+SUM($AJ$5:AJ230),"")</f>
        <v/>
      </c>
      <c r="AL230">
        <f>IF(AI230=0,N(AL229),IF(R230&lt;0,N(AL229)+1,0))</f>
        <v>1</v>
      </c>
      <c r="AM230">
        <f>IF(AI230=0,N(AM229),IF(R230&gt;0,N(AM229)+1,0))</f>
        <v>0</v>
      </c>
      <c r="AN230">
        <f>IF(AI230=1,MAX('Panel'!$AB$4,N(AN229),AK230),N(AN229))</f>
        <v>21371.061500000033</v>
      </c>
      <c r="AO230">
        <f>IF(AI230=1,AN230-AK230,0)</f>
        <v>0</v>
      </c>
      <c r="AP230">
        <f>IF(AND(AI230=1,AN230&gt;0),AO230/AN230,0)</f>
        <v>0</v>
      </c>
      <c r="AQ230" t="str">
        <f>IF(AI230=1,SUM($AI$5:AI230),"")</f>
        <v/>
      </c>
      <c r="AR230" t="str">
        <f>IF(AI230=1,IF(COUNTIFS($D$5:D230,D230,$AI$5:AI230,1)=1,SUMIFS($AJ$5:$AJ$504,$D$5:$D$504,D230),""),"")</f>
        <v/>
      </c>
      <c r="AS230" t="str">
        <f>IF(AG230=1,WEEKDAY(D230,2),"")</f>
        <v/>
      </c>
      <c r="AT230" s="31" t="str">
        <f>IF(AG230=1,DATE(YEAR(D230),MONTH(D230),1),"")</f>
        <v/>
      </c>
      <c r="AU230">
        <f>IF(AG230=0,0,IF(AND(OR('Prop challenge'!$D$7="",F230='Prop challenge'!$D$7),OR('Prop challenge'!$D$9="",D230&gt;='Prop challenge'!$D$9)),1,0))</f>
        <v>0</v>
      </c>
      <c r="AV230">
        <f>IF(AU230=1,IF(COUNTIFS($D$5:D230,D230,$AU$5:AU230,1)=1,1,0),0)</f>
        <v>0</v>
      </c>
      <c r="AW230" t="str">
        <f>IF(AV230=1,SUM($AV$5:AV230),"")</f>
        <v/>
      </c>
      <c r="AX230" t="str">
        <f>IF(AV230=1,SUMIFS($R$5:$R$504,$D$5:$D$504,D230,$AU$5:$AU$504,1),"")</f>
        <v/>
      </c>
    </row>
    <row r="231">
      <c r="A231" s="20" t="str">
        <f>IF(AG231=1,ROW()-4,"")</f>
        <v/>
      </c>
      <c r="B231" s="21" t="n"/>
      <c r="C231" s="22" t="n"/>
      <c r="D231" s="21" t="n"/>
      <c r="E231" s="22" t="n"/>
      <c r="F231" s="23" t="n"/>
      <c r="G231" s="23" t="n"/>
      <c r="H231" s="23" t="n"/>
      <c r="I231" s="24" t="n"/>
      <c r="J231" s="25" t="n"/>
      <c r="K231" s="25" t="n"/>
      <c r="L231" s="25" t="n"/>
      <c r="M231" s="25" t="n"/>
      <c r="N231" s="26" t="n"/>
      <c r="O231" s="26" t="n"/>
      <c r="P231" s="27" t="str">
        <f>IF(OR(J231="",K231="",I231="",AF231=0,AD231=""),"",(K231-J231)*AF231*I231*AD231*AE231)</f>
        <v/>
      </c>
      <c r="Q231" s="26" t="n"/>
      <c r="R231" s="28" t="str">
        <f>IF(Q231&lt;&gt;"",Q231,IF(P231="","",P231-N(N231)+N(O231)))</f>
        <v/>
      </c>
      <c r="S231" s="27" t="str">
        <f>IF(OR(L231="",J231="",I231="",AD231=""),"",ABS(J231-L231)*I231*AD231*AE231)</f>
        <v/>
      </c>
      <c r="T231" s="29" t="str">
        <f>IF(OR(R231="",S231="",S231=0),"",R231/S231)</f>
        <v/>
      </c>
      <c r="U231" s="20" t="str">
        <f>IF(R231="","",IF(R231&gt;0,"Ganadora",IF(R231&lt;0,"Perdedora","BE")))</f>
        <v/>
      </c>
      <c r="V231" s="23" t="n"/>
      <c r="W231" s="23" t="n"/>
      <c r="X231" s="23" t="n"/>
      <c r="Y231" s="23" t="n"/>
      <c r="Z231" s="23" t="n"/>
      <c r="AA231" s="23" t="n"/>
      <c r="AB231" s="30" t="n"/>
      <c r="AC231" s="1" t="n"/>
      <c r="AD231" s="1" t="str">
        <f>IF(G231="","",IFERROR(INDEX('Listas'!$N$6:$N$35,MATCH(G231,'Listas'!$M$6:$M$35,0)),""))</f>
        <v/>
      </c>
      <c r="AE231">
        <f>IF(G231="",1,IFERROR(INDEX('Listas'!$P$6:$P$35,MATCH(G231,'Listas'!$M$6:$M$35,0)),1))</f>
        <v>1</v>
      </c>
      <c r="AF231">
        <f>IF(H231="Compra",1,IF(H231="Venta",-1,0))</f>
        <v>0</v>
      </c>
      <c r="AG231">
        <f>IF(AND(D231&lt;&gt;"",ISNUMBER(R231)),1,0)</f>
        <v>0</v>
      </c>
      <c r="AH231">
        <f>IF(AG231=0,0,IF(OR('Panel'!$D$5="Todas las cuentas",'Panel'!$D$5="",F231='Panel'!$D$5),1,0))</f>
        <v>0</v>
      </c>
      <c r="AI231">
        <f>IF(AH231=0,0,IF(AND(OR('Panel'!$G$5="",D231&gt;='Panel'!$G$5),OR('Panel'!$J$5="",D231&lt;='Panel'!$J$5)),1,0))</f>
        <v>0</v>
      </c>
      <c r="AJ231">
        <f>IF(AI231=1,R231,0)</f>
        <v>0</v>
      </c>
      <c r="AK231" t="str">
        <f>IF(AI231=1,'Panel'!$AB$4+SUM($AJ$5:AJ231),"")</f>
        <v/>
      </c>
      <c r="AL231">
        <f>IF(AI231=0,N(AL230),IF(R231&lt;0,N(AL230)+1,0))</f>
        <v>1</v>
      </c>
      <c r="AM231">
        <f>IF(AI231=0,N(AM230),IF(R231&gt;0,N(AM230)+1,0))</f>
        <v>0</v>
      </c>
      <c r="AN231">
        <f>IF(AI231=1,MAX('Panel'!$AB$4,N(AN230),AK231),N(AN230))</f>
        <v>21371.061500000033</v>
      </c>
      <c r="AO231">
        <f>IF(AI231=1,AN231-AK231,0)</f>
        <v>0</v>
      </c>
      <c r="AP231">
        <f>IF(AND(AI231=1,AN231&gt;0),AO231/AN231,0)</f>
        <v>0</v>
      </c>
      <c r="AQ231" t="str">
        <f>IF(AI231=1,SUM($AI$5:AI231),"")</f>
        <v/>
      </c>
      <c r="AR231" t="str">
        <f>IF(AI231=1,IF(COUNTIFS($D$5:D231,D231,$AI$5:AI231,1)=1,SUMIFS($AJ$5:$AJ$504,$D$5:$D$504,D231),""),"")</f>
        <v/>
      </c>
      <c r="AS231" t="str">
        <f>IF(AG231=1,WEEKDAY(D231,2),"")</f>
        <v/>
      </c>
      <c r="AT231" s="31" t="str">
        <f>IF(AG231=1,DATE(YEAR(D231),MONTH(D231),1),"")</f>
        <v/>
      </c>
      <c r="AU231">
        <f>IF(AG231=0,0,IF(AND(OR('Prop challenge'!$D$7="",F231='Prop challenge'!$D$7),OR('Prop challenge'!$D$9="",D231&gt;='Prop challenge'!$D$9)),1,0))</f>
        <v>0</v>
      </c>
      <c r="AV231">
        <f>IF(AU231=1,IF(COUNTIFS($D$5:D231,D231,$AU$5:AU231,1)=1,1,0),0)</f>
        <v>0</v>
      </c>
      <c r="AW231" t="str">
        <f>IF(AV231=1,SUM($AV$5:AV231),"")</f>
        <v/>
      </c>
      <c r="AX231" t="str">
        <f>IF(AV231=1,SUMIFS($R$5:$R$504,$D$5:$D$504,D231,$AU$5:$AU$504,1),"")</f>
        <v/>
      </c>
    </row>
    <row r="232">
      <c r="A232" s="20" t="str">
        <f>IF(AG232=1,ROW()-4,"")</f>
        <v/>
      </c>
      <c r="B232" s="21" t="n"/>
      <c r="C232" s="22" t="n"/>
      <c r="D232" s="21" t="n"/>
      <c r="E232" s="22" t="n"/>
      <c r="F232" s="23" t="n"/>
      <c r="G232" s="23" t="n"/>
      <c r="H232" s="23" t="n"/>
      <c r="I232" s="24" t="n"/>
      <c r="J232" s="25" t="n"/>
      <c r="K232" s="25" t="n"/>
      <c r="L232" s="25" t="n"/>
      <c r="M232" s="25" t="n"/>
      <c r="N232" s="26" t="n"/>
      <c r="O232" s="26" t="n"/>
      <c r="P232" s="27" t="str">
        <f>IF(OR(J232="",K232="",I232="",AF232=0,AD232=""),"",(K232-J232)*AF232*I232*AD232*AE232)</f>
        <v/>
      </c>
      <c r="Q232" s="26" t="n"/>
      <c r="R232" s="28" t="str">
        <f>IF(Q232&lt;&gt;"",Q232,IF(P232="","",P232-N(N232)+N(O232)))</f>
        <v/>
      </c>
      <c r="S232" s="27" t="str">
        <f>IF(OR(L232="",J232="",I232="",AD232=""),"",ABS(J232-L232)*I232*AD232*AE232)</f>
        <v/>
      </c>
      <c r="T232" s="29" t="str">
        <f>IF(OR(R232="",S232="",S232=0),"",R232/S232)</f>
        <v/>
      </c>
      <c r="U232" s="20" t="str">
        <f>IF(R232="","",IF(R232&gt;0,"Ganadora",IF(R232&lt;0,"Perdedora","BE")))</f>
        <v/>
      </c>
      <c r="V232" s="23" t="n"/>
      <c r="W232" s="23" t="n"/>
      <c r="X232" s="23" t="n"/>
      <c r="Y232" s="23" t="n"/>
      <c r="Z232" s="23" t="n"/>
      <c r="AA232" s="23" t="n"/>
      <c r="AB232" s="30" t="n"/>
      <c r="AC232" s="1" t="n"/>
      <c r="AD232" s="1" t="str">
        <f>IF(G232="","",IFERROR(INDEX('Listas'!$N$6:$N$35,MATCH(G232,'Listas'!$M$6:$M$35,0)),""))</f>
        <v/>
      </c>
      <c r="AE232">
        <f>IF(G232="",1,IFERROR(INDEX('Listas'!$P$6:$P$35,MATCH(G232,'Listas'!$M$6:$M$35,0)),1))</f>
        <v>1</v>
      </c>
      <c r="AF232">
        <f>IF(H232="Compra",1,IF(H232="Venta",-1,0))</f>
        <v>0</v>
      </c>
      <c r="AG232">
        <f>IF(AND(D232&lt;&gt;"",ISNUMBER(R232)),1,0)</f>
        <v>0</v>
      </c>
      <c r="AH232">
        <f>IF(AG232=0,0,IF(OR('Panel'!$D$5="Todas las cuentas",'Panel'!$D$5="",F232='Panel'!$D$5),1,0))</f>
        <v>0</v>
      </c>
      <c r="AI232">
        <f>IF(AH232=0,0,IF(AND(OR('Panel'!$G$5="",D232&gt;='Panel'!$G$5),OR('Panel'!$J$5="",D232&lt;='Panel'!$J$5)),1,0))</f>
        <v>0</v>
      </c>
      <c r="AJ232">
        <f>IF(AI232=1,R232,0)</f>
        <v>0</v>
      </c>
      <c r="AK232" t="str">
        <f>IF(AI232=1,'Panel'!$AB$4+SUM($AJ$5:AJ232),"")</f>
        <v/>
      </c>
      <c r="AL232">
        <f>IF(AI232=0,N(AL231),IF(R232&lt;0,N(AL231)+1,0))</f>
        <v>1</v>
      </c>
      <c r="AM232">
        <f>IF(AI232=0,N(AM231),IF(R232&gt;0,N(AM231)+1,0))</f>
        <v>0</v>
      </c>
      <c r="AN232">
        <f>IF(AI232=1,MAX('Panel'!$AB$4,N(AN231),AK232),N(AN231))</f>
        <v>21371.061500000033</v>
      </c>
      <c r="AO232">
        <f>IF(AI232=1,AN232-AK232,0)</f>
        <v>0</v>
      </c>
      <c r="AP232">
        <f>IF(AND(AI232=1,AN232&gt;0),AO232/AN232,0)</f>
        <v>0</v>
      </c>
      <c r="AQ232" t="str">
        <f>IF(AI232=1,SUM($AI$5:AI232),"")</f>
        <v/>
      </c>
      <c r="AR232" t="str">
        <f>IF(AI232=1,IF(COUNTIFS($D$5:D232,D232,$AI$5:AI232,1)=1,SUMIFS($AJ$5:$AJ$504,$D$5:$D$504,D232),""),"")</f>
        <v/>
      </c>
      <c r="AS232" t="str">
        <f>IF(AG232=1,WEEKDAY(D232,2),"")</f>
        <v/>
      </c>
      <c r="AT232" s="31" t="str">
        <f>IF(AG232=1,DATE(YEAR(D232),MONTH(D232),1),"")</f>
        <v/>
      </c>
      <c r="AU232">
        <f>IF(AG232=0,0,IF(AND(OR('Prop challenge'!$D$7="",F232='Prop challenge'!$D$7),OR('Prop challenge'!$D$9="",D232&gt;='Prop challenge'!$D$9)),1,0))</f>
        <v>0</v>
      </c>
      <c r="AV232">
        <f>IF(AU232=1,IF(COUNTIFS($D$5:D232,D232,$AU$5:AU232,1)=1,1,0),0)</f>
        <v>0</v>
      </c>
      <c r="AW232" t="str">
        <f>IF(AV232=1,SUM($AV$5:AV232),"")</f>
        <v/>
      </c>
      <c r="AX232" t="str">
        <f>IF(AV232=1,SUMIFS($R$5:$R$504,$D$5:$D$504,D232,$AU$5:$AU$504,1),"")</f>
        <v/>
      </c>
    </row>
    <row r="233">
      <c r="A233" s="20" t="str">
        <f>IF(AG233=1,ROW()-4,"")</f>
        <v/>
      </c>
      <c r="B233" s="21" t="n"/>
      <c r="C233" s="22" t="n"/>
      <c r="D233" s="21" t="n"/>
      <c r="E233" s="22" t="n"/>
      <c r="F233" s="23" t="n"/>
      <c r="G233" s="23" t="n"/>
      <c r="H233" s="23" t="n"/>
      <c r="I233" s="24" t="n"/>
      <c r="J233" s="25" t="n"/>
      <c r="K233" s="25" t="n"/>
      <c r="L233" s="25" t="n"/>
      <c r="M233" s="25" t="n"/>
      <c r="N233" s="26" t="n"/>
      <c r="O233" s="26" t="n"/>
      <c r="P233" s="27" t="str">
        <f>IF(OR(J233="",K233="",I233="",AF233=0,AD233=""),"",(K233-J233)*AF233*I233*AD233*AE233)</f>
        <v/>
      </c>
      <c r="Q233" s="26" t="n"/>
      <c r="R233" s="28" t="str">
        <f>IF(Q233&lt;&gt;"",Q233,IF(P233="","",P233-N(N233)+N(O233)))</f>
        <v/>
      </c>
      <c r="S233" s="27" t="str">
        <f>IF(OR(L233="",J233="",I233="",AD233=""),"",ABS(J233-L233)*I233*AD233*AE233)</f>
        <v/>
      </c>
      <c r="T233" s="29" t="str">
        <f>IF(OR(R233="",S233="",S233=0),"",R233/S233)</f>
        <v/>
      </c>
      <c r="U233" s="20" t="str">
        <f>IF(R233="","",IF(R233&gt;0,"Ganadora",IF(R233&lt;0,"Perdedora","BE")))</f>
        <v/>
      </c>
      <c r="V233" s="23" t="n"/>
      <c r="W233" s="23" t="n"/>
      <c r="X233" s="23" t="n"/>
      <c r="Y233" s="23" t="n"/>
      <c r="Z233" s="23" t="n"/>
      <c r="AA233" s="23" t="n"/>
      <c r="AB233" s="30" t="n"/>
      <c r="AC233" s="1" t="n"/>
      <c r="AD233" s="1" t="str">
        <f>IF(G233="","",IFERROR(INDEX('Listas'!$N$6:$N$35,MATCH(G233,'Listas'!$M$6:$M$35,0)),""))</f>
        <v/>
      </c>
      <c r="AE233">
        <f>IF(G233="",1,IFERROR(INDEX('Listas'!$P$6:$P$35,MATCH(G233,'Listas'!$M$6:$M$35,0)),1))</f>
        <v>1</v>
      </c>
      <c r="AF233">
        <f>IF(H233="Compra",1,IF(H233="Venta",-1,0))</f>
        <v>0</v>
      </c>
      <c r="AG233">
        <f>IF(AND(D233&lt;&gt;"",ISNUMBER(R233)),1,0)</f>
        <v>0</v>
      </c>
      <c r="AH233">
        <f>IF(AG233=0,0,IF(OR('Panel'!$D$5="Todas las cuentas",'Panel'!$D$5="",F233='Panel'!$D$5),1,0))</f>
        <v>0</v>
      </c>
      <c r="AI233">
        <f>IF(AH233=0,0,IF(AND(OR('Panel'!$G$5="",D233&gt;='Panel'!$G$5),OR('Panel'!$J$5="",D233&lt;='Panel'!$J$5)),1,0))</f>
        <v>0</v>
      </c>
      <c r="AJ233">
        <f>IF(AI233=1,R233,0)</f>
        <v>0</v>
      </c>
      <c r="AK233" t="str">
        <f>IF(AI233=1,'Panel'!$AB$4+SUM($AJ$5:AJ233),"")</f>
        <v/>
      </c>
      <c r="AL233">
        <f>IF(AI233=0,N(AL232),IF(R233&lt;0,N(AL232)+1,0))</f>
        <v>1</v>
      </c>
      <c r="AM233">
        <f>IF(AI233=0,N(AM232),IF(R233&gt;0,N(AM232)+1,0))</f>
        <v>0</v>
      </c>
      <c r="AN233">
        <f>IF(AI233=1,MAX('Panel'!$AB$4,N(AN232),AK233),N(AN232))</f>
        <v>21371.061500000033</v>
      </c>
      <c r="AO233">
        <f>IF(AI233=1,AN233-AK233,0)</f>
        <v>0</v>
      </c>
      <c r="AP233">
        <f>IF(AND(AI233=1,AN233&gt;0),AO233/AN233,0)</f>
        <v>0</v>
      </c>
      <c r="AQ233" t="str">
        <f>IF(AI233=1,SUM($AI$5:AI233),"")</f>
        <v/>
      </c>
      <c r="AR233" t="str">
        <f>IF(AI233=1,IF(COUNTIFS($D$5:D233,D233,$AI$5:AI233,1)=1,SUMIFS($AJ$5:$AJ$504,$D$5:$D$504,D233),""),"")</f>
        <v/>
      </c>
      <c r="AS233" t="str">
        <f>IF(AG233=1,WEEKDAY(D233,2),"")</f>
        <v/>
      </c>
      <c r="AT233" s="31" t="str">
        <f>IF(AG233=1,DATE(YEAR(D233),MONTH(D233),1),"")</f>
        <v/>
      </c>
      <c r="AU233">
        <f>IF(AG233=0,0,IF(AND(OR('Prop challenge'!$D$7="",F233='Prop challenge'!$D$7),OR('Prop challenge'!$D$9="",D233&gt;='Prop challenge'!$D$9)),1,0))</f>
        <v>0</v>
      </c>
      <c r="AV233">
        <f>IF(AU233=1,IF(COUNTIFS($D$5:D233,D233,$AU$5:AU233,1)=1,1,0),0)</f>
        <v>0</v>
      </c>
      <c r="AW233" t="str">
        <f>IF(AV233=1,SUM($AV$5:AV233),"")</f>
        <v/>
      </c>
      <c r="AX233" t="str">
        <f>IF(AV233=1,SUMIFS($R$5:$R$504,$D$5:$D$504,D233,$AU$5:$AU$504,1),"")</f>
        <v/>
      </c>
    </row>
    <row r="234">
      <c r="A234" s="20" t="str">
        <f>IF(AG234=1,ROW()-4,"")</f>
        <v/>
      </c>
      <c r="B234" s="21" t="n"/>
      <c r="C234" s="22" t="n"/>
      <c r="D234" s="21" t="n"/>
      <c r="E234" s="22" t="n"/>
      <c r="F234" s="23" t="n"/>
      <c r="G234" s="23" t="n"/>
      <c r="H234" s="23" t="n"/>
      <c r="I234" s="24" t="n"/>
      <c r="J234" s="25" t="n"/>
      <c r="K234" s="25" t="n"/>
      <c r="L234" s="25" t="n"/>
      <c r="M234" s="25" t="n"/>
      <c r="N234" s="26" t="n"/>
      <c r="O234" s="26" t="n"/>
      <c r="P234" s="27" t="str">
        <f>IF(OR(J234="",K234="",I234="",AF234=0,AD234=""),"",(K234-J234)*AF234*I234*AD234*AE234)</f>
        <v/>
      </c>
      <c r="Q234" s="26" t="n"/>
      <c r="R234" s="28" t="str">
        <f>IF(Q234&lt;&gt;"",Q234,IF(P234="","",P234-N(N234)+N(O234)))</f>
        <v/>
      </c>
      <c r="S234" s="27" t="str">
        <f>IF(OR(L234="",J234="",I234="",AD234=""),"",ABS(J234-L234)*I234*AD234*AE234)</f>
        <v/>
      </c>
      <c r="T234" s="29" t="str">
        <f>IF(OR(R234="",S234="",S234=0),"",R234/S234)</f>
        <v/>
      </c>
      <c r="U234" s="20" t="str">
        <f>IF(R234="","",IF(R234&gt;0,"Ganadora",IF(R234&lt;0,"Perdedora","BE")))</f>
        <v/>
      </c>
      <c r="V234" s="23" t="n"/>
      <c r="W234" s="23" t="n"/>
      <c r="X234" s="23" t="n"/>
      <c r="Y234" s="23" t="n"/>
      <c r="Z234" s="23" t="n"/>
      <c r="AA234" s="23" t="n"/>
      <c r="AB234" s="30" t="n"/>
      <c r="AC234" s="1" t="n"/>
      <c r="AD234" s="1" t="str">
        <f>IF(G234="","",IFERROR(INDEX('Listas'!$N$6:$N$35,MATCH(G234,'Listas'!$M$6:$M$35,0)),""))</f>
        <v/>
      </c>
      <c r="AE234">
        <f>IF(G234="",1,IFERROR(INDEX('Listas'!$P$6:$P$35,MATCH(G234,'Listas'!$M$6:$M$35,0)),1))</f>
        <v>1</v>
      </c>
      <c r="AF234">
        <f>IF(H234="Compra",1,IF(H234="Venta",-1,0))</f>
        <v>0</v>
      </c>
      <c r="AG234">
        <f>IF(AND(D234&lt;&gt;"",ISNUMBER(R234)),1,0)</f>
        <v>0</v>
      </c>
      <c r="AH234">
        <f>IF(AG234=0,0,IF(OR('Panel'!$D$5="Todas las cuentas",'Panel'!$D$5="",F234='Panel'!$D$5),1,0))</f>
        <v>0</v>
      </c>
      <c r="AI234">
        <f>IF(AH234=0,0,IF(AND(OR('Panel'!$G$5="",D234&gt;='Panel'!$G$5),OR('Panel'!$J$5="",D234&lt;='Panel'!$J$5)),1,0))</f>
        <v>0</v>
      </c>
      <c r="AJ234">
        <f>IF(AI234=1,R234,0)</f>
        <v>0</v>
      </c>
      <c r="AK234" t="str">
        <f>IF(AI234=1,'Panel'!$AB$4+SUM($AJ$5:AJ234),"")</f>
        <v/>
      </c>
      <c r="AL234">
        <f>IF(AI234=0,N(AL233),IF(R234&lt;0,N(AL233)+1,0))</f>
        <v>1</v>
      </c>
      <c r="AM234">
        <f>IF(AI234=0,N(AM233),IF(R234&gt;0,N(AM233)+1,0))</f>
        <v>0</v>
      </c>
      <c r="AN234">
        <f>IF(AI234=1,MAX('Panel'!$AB$4,N(AN233),AK234),N(AN233))</f>
        <v>21371.061500000033</v>
      </c>
      <c r="AO234">
        <f>IF(AI234=1,AN234-AK234,0)</f>
        <v>0</v>
      </c>
      <c r="AP234">
        <f>IF(AND(AI234=1,AN234&gt;0),AO234/AN234,0)</f>
        <v>0</v>
      </c>
      <c r="AQ234" t="str">
        <f>IF(AI234=1,SUM($AI$5:AI234),"")</f>
        <v/>
      </c>
      <c r="AR234" t="str">
        <f>IF(AI234=1,IF(COUNTIFS($D$5:D234,D234,$AI$5:AI234,1)=1,SUMIFS($AJ$5:$AJ$504,$D$5:$D$504,D234),""),"")</f>
        <v/>
      </c>
      <c r="AS234" t="str">
        <f>IF(AG234=1,WEEKDAY(D234,2),"")</f>
        <v/>
      </c>
      <c r="AT234" s="31" t="str">
        <f>IF(AG234=1,DATE(YEAR(D234),MONTH(D234),1),"")</f>
        <v/>
      </c>
      <c r="AU234">
        <f>IF(AG234=0,0,IF(AND(OR('Prop challenge'!$D$7="",F234='Prop challenge'!$D$7),OR('Prop challenge'!$D$9="",D234&gt;='Prop challenge'!$D$9)),1,0))</f>
        <v>0</v>
      </c>
      <c r="AV234">
        <f>IF(AU234=1,IF(COUNTIFS($D$5:D234,D234,$AU$5:AU234,1)=1,1,0),0)</f>
        <v>0</v>
      </c>
      <c r="AW234" t="str">
        <f>IF(AV234=1,SUM($AV$5:AV234),"")</f>
        <v/>
      </c>
      <c r="AX234" t="str">
        <f>IF(AV234=1,SUMIFS($R$5:$R$504,$D$5:$D$504,D234,$AU$5:$AU$504,1),"")</f>
        <v/>
      </c>
    </row>
    <row r="235">
      <c r="A235" s="20" t="str">
        <f>IF(AG235=1,ROW()-4,"")</f>
        <v/>
      </c>
      <c r="B235" s="21" t="n"/>
      <c r="C235" s="22" t="n"/>
      <c r="D235" s="21" t="n"/>
      <c r="E235" s="22" t="n"/>
      <c r="F235" s="23" t="n"/>
      <c r="G235" s="23" t="n"/>
      <c r="H235" s="23" t="n"/>
      <c r="I235" s="24" t="n"/>
      <c r="J235" s="25" t="n"/>
      <c r="K235" s="25" t="n"/>
      <c r="L235" s="25" t="n"/>
      <c r="M235" s="25" t="n"/>
      <c r="N235" s="26" t="n"/>
      <c r="O235" s="26" t="n"/>
      <c r="P235" s="27" t="str">
        <f>IF(OR(J235="",K235="",I235="",AF235=0,AD235=""),"",(K235-J235)*AF235*I235*AD235*AE235)</f>
        <v/>
      </c>
      <c r="Q235" s="26" t="n"/>
      <c r="R235" s="28" t="str">
        <f>IF(Q235&lt;&gt;"",Q235,IF(P235="","",P235-N(N235)+N(O235)))</f>
        <v/>
      </c>
      <c r="S235" s="27" t="str">
        <f>IF(OR(L235="",J235="",I235="",AD235=""),"",ABS(J235-L235)*I235*AD235*AE235)</f>
        <v/>
      </c>
      <c r="T235" s="29" t="str">
        <f>IF(OR(R235="",S235="",S235=0),"",R235/S235)</f>
        <v/>
      </c>
      <c r="U235" s="20" t="str">
        <f>IF(R235="","",IF(R235&gt;0,"Ganadora",IF(R235&lt;0,"Perdedora","BE")))</f>
        <v/>
      </c>
      <c r="V235" s="23" t="n"/>
      <c r="W235" s="23" t="n"/>
      <c r="X235" s="23" t="n"/>
      <c r="Y235" s="23" t="n"/>
      <c r="Z235" s="23" t="n"/>
      <c r="AA235" s="23" t="n"/>
      <c r="AB235" s="30" t="n"/>
      <c r="AC235" s="1" t="n"/>
      <c r="AD235" s="1" t="str">
        <f>IF(G235="","",IFERROR(INDEX('Listas'!$N$6:$N$35,MATCH(G235,'Listas'!$M$6:$M$35,0)),""))</f>
        <v/>
      </c>
      <c r="AE235">
        <f>IF(G235="",1,IFERROR(INDEX('Listas'!$P$6:$P$35,MATCH(G235,'Listas'!$M$6:$M$35,0)),1))</f>
        <v>1</v>
      </c>
      <c r="AF235">
        <f>IF(H235="Compra",1,IF(H235="Venta",-1,0))</f>
        <v>0</v>
      </c>
      <c r="AG235">
        <f>IF(AND(D235&lt;&gt;"",ISNUMBER(R235)),1,0)</f>
        <v>0</v>
      </c>
      <c r="AH235">
        <f>IF(AG235=0,0,IF(OR('Panel'!$D$5="Todas las cuentas",'Panel'!$D$5="",F235='Panel'!$D$5),1,0))</f>
        <v>0</v>
      </c>
      <c r="AI235">
        <f>IF(AH235=0,0,IF(AND(OR('Panel'!$G$5="",D235&gt;='Panel'!$G$5),OR('Panel'!$J$5="",D235&lt;='Panel'!$J$5)),1,0))</f>
        <v>0</v>
      </c>
      <c r="AJ235">
        <f>IF(AI235=1,R235,0)</f>
        <v>0</v>
      </c>
      <c r="AK235" t="str">
        <f>IF(AI235=1,'Panel'!$AB$4+SUM($AJ$5:AJ235),"")</f>
        <v/>
      </c>
      <c r="AL235">
        <f>IF(AI235=0,N(AL234),IF(R235&lt;0,N(AL234)+1,0))</f>
        <v>1</v>
      </c>
      <c r="AM235">
        <f>IF(AI235=0,N(AM234),IF(R235&gt;0,N(AM234)+1,0))</f>
        <v>0</v>
      </c>
      <c r="AN235">
        <f>IF(AI235=1,MAX('Panel'!$AB$4,N(AN234),AK235),N(AN234))</f>
        <v>21371.061500000033</v>
      </c>
      <c r="AO235">
        <f>IF(AI235=1,AN235-AK235,0)</f>
        <v>0</v>
      </c>
      <c r="AP235">
        <f>IF(AND(AI235=1,AN235&gt;0),AO235/AN235,0)</f>
        <v>0</v>
      </c>
      <c r="AQ235" t="str">
        <f>IF(AI235=1,SUM($AI$5:AI235),"")</f>
        <v/>
      </c>
      <c r="AR235" t="str">
        <f>IF(AI235=1,IF(COUNTIFS($D$5:D235,D235,$AI$5:AI235,1)=1,SUMIFS($AJ$5:$AJ$504,$D$5:$D$504,D235),""),"")</f>
        <v/>
      </c>
      <c r="AS235" t="str">
        <f>IF(AG235=1,WEEKDAY(D235,2),"")</f>
        <v/>
      </c>
      <c r="AT235" s="31" t="str">
        <f>IF(AG235=1,DATE(YEAR(D235),MONTH(D235),1),"")</f>
        <v/>
      </c>
      <c r="AU235">
        <f>IF(AG235=0,0,IF(AND(OR('Prop challenge'!$D$7="",F235='Prop challenge'!$D$7),OR('Prop challenge'!$D$9="",D235&gt;='Prop challenge'!$D$9)),1,0))</f>
        <v>0</v>
      </c>
      <c r="AV235">
        <f>IF(AU235=1,IF(COUNTIFS($D$5:D235,D235,$AU$5:AU235,1)=1,1,0),0)</f>
        <v>0</v>
      </c>
      <c r="AW235" t="str">
        <f>IF(AV235=1,SUM($AV$5:AV235),"")</f>
        <v/>
      </c>
      <c r="AX235" t="str">
        <f>IF(AV235=1,SUMIFS($R$5:$R$504,$D$5:$D$504,D235,$AU$5:$AU$504,1),"")</f>
        <v/>
      </c>
    </row>
    <row r="236">
      <c r="A236" s="20" t="str">
        <f>IF(AG236=1,ROW()-4,"")</f>
        <v/>
      </c>
      <c r="B236" s="21" t="n"/>
      <c r="C236" s="22" t="n"/>
      <c r="D236" s="21" t="n"/>
      <c r="E236" s="22" t="n"/>
      <c r="F236" s="23" t="n"/>
      <c r="G236" s="23" t="n"/>
      <c r="H236" s="23" t="n"/>
      <c r="I236" s="24" t="n"/>
      <c r="J236" s="25" t="n"/>
      <c r="K236" s="25" t="n"/>
      <c r="L236" s="25" t="n"/>
      <c r="M236" s="25" t="n"/>
      <c r="N236" s="26" t="n"/>
      <c r="O236" s="26" t="n"/>
      <c r="P236" s="27" t="str">
        <f>IF(OR(J236="",K236="",I236="",AF236=0,AD236=""),"",(K236-J236)*AF236*I236*AD236*AE236)</f>
        <v/>
      </c>
      <c r="Q236" s="26" t="n"/>
      <c r="R236" s="28" t="str">
        <f>IF(Q236&lt;&gt;"",Q236,IF(P236="","",P236-N(N236)+N(O236)))</f>
        <v/>
      </c>
      <c r="S236" s="27" t="str">
        <f>IF(OR(L236="",J236="",I236="",AD236=""),"",ABS(J236-L236)*I236*AD236*AE236)</f>
        <v/>
      </c>
      <c r="T236" s="29" t="str">
        <f>IF(OR(R236="",S236="",S236=0),"",R236/S236)</f>
        <v/>
      </c>
      <c r="U236" s="20" t="str">
        <f>IF(R236="","",IF(R236&gt;0,"Ganadora",IF(R236&lt;0,"Perdedora","BE")))</f>
        <v/>
      </c>
      <c r="V236" s="23" t="n"/>
      <c r="W236" s="23" t="n"/>
      <c r="X236" s="23" t="n"/>
      <c r="Y236" s="23" t="n"/>
      <c r="Z236" s="23" t="n"/>
      <c r="AA236" s="23" t="n"/>
      <c r="AB236" s="30" t="n"/>
      <c r="AC236" s="1" t="n"/>
      <c r="AD236" s="1" t="str">
        <f>IF(G236="","",IFERROR(INDEX('Listas'!$N$6:$N$35,MATCH(G236,'Listas'!$M$6:$M$35,0)),""))</f>
        <v/>
      </c>
      <c r="AE236">
        <f>IF(G236="",1,IFERROR(INDEX('Listas'!$P$6:$P$35,MATCH(G236,'Listas'!$M$6:$M$35,0)),1))</f>
        <v>1</v>
      </c>
      <c r="AF236">
        <f>IF(H236="Compra",1,IF(H236="Venta",-1,0))</f>
        <v>0</v>
      </c>
      <c r="AG236">
        <f>IF(AND(D236&lt;&gt;"",ISNUMBER(R236)),1,0)</f>
        <v>0</v>
      </c>
      <c r="AH236">
        <f>IF(AG236=0,0,IF(OR('Panel'!$D$5="Todas las cuentas",'Panel'!$D$5="",F236='Panel'!$D$5),1,0))</f>
        <v>0</v>
      </c>
      <c r="AI236">
        <f>IF(AH236=0,0,IF(AND(OR('Panel'!$G$5="",D236&gt;='Panel'!$G$5),OR('Panel'!$J$5="",D236&lt;='Panel'!$J$5)),1,0))</f>
        <v>0</v>
      </c>
      <c r="AJ236">
        <f>IF(AI236=1,R236,0)</f>
        <v>0</v>
      </c>
      <c r="AK236" t="str">
        <f>IF(AI236=1,'Panel'!$AB$4+SUM($AJ$5:AJ236),"")</f>
        <v/>
      </c>
      <c r="AL236">
        <f>IF(AI236=0,N(AL235),IF(R236&lt;0,N(AL235)+1,0))</f>
        <v>1</v>
      </c>
      <c r="AM236">
        <f>IF(AI236=0,N(AM235),IF(R236&gt;0,N(AM235)+1,0))</f>
        <v>0</v>
      </c>
      <c r="AN236">
        <f>IF(AI236=1,MAX('Panel'!$AB$4,N(AN235),AK236),N(AN235))</f>
        <v>21371.061500000033</v>
      </c>
      <c r="AO236">
        <f>IF(AI236=1,AN236-AK236,0)</f>
        <v>0</v>
      </c>
      <c r="AP236">
        <f>IF(AND(AI236=1,AN236&gt;0),AO236/AN236,0)</f>
        <v>0</v>
      </c>
      <c r="AQ236" t="str">
        <f>IF(AI236=1,SUM($AI$5:AI236),"")</f>
        <v/>
      </c>
      <c r="AR236" t="str">
        <f>IF(AI236=1,IF(COUNTIFS($D$5:D236,D236,$AI$5:AI236,1)=1,SUMIFS($AJ$5:$AJ$504,$D$5:$D$504,D236),""),"")</f>
        <v/>
      </c>
      <c r="AS236" t="str">
        <f>IF(AG236=1,WEEKDAY(D236,2),"")</f>
        <v/>
      </c>
      <c r="AT236" s="31" t="str">
        <f>IF(AG236=1,DATE(YEAR(D236),MONTH(D236),1),"")</f>
        <v/>
      </c>
      <c r="AU236">
        <f>IF(AG236=0,0,IF(AND(OR('Prop challenge'!$D$7="",F236='Prop challenge'!$D$7),OR('Prop challenge'!$D$9="",D236&gt;='Prop challenge'!$D$9)),1,0))</f>
        <v>0</v>
      </c>
      <c r="AV236">
        <f>IF(AU236=1,IF(COUNTIFS($D$5:D236,D236,$AU$5:AU236,1)=1,1,0),0)</f>
        <v>0</v>
      </c>
      <c r="AW236" t="str">
        <f>IF(AV236=1,SUM($AV$5:AV236),"")</f>
        <v/>
      </c>
      <c r="AX236" t="str">
        <f>IF(AV236=1,SUMIFS($R$5:$R$504,$D$5:$D$504,D236,$AU$5:$AU$504,1),"")</f>
        <v/>
      </c>
    </row>
    <row r="237">
      <c r="A237" s="20" t="str">
        <f>IF(AG237=1,ROW()-4,"")</f>
        <v/>
      </c>
      <c r="B237" s="21" t="n"/>
      <c r="C237" s="22" t="n"/>
      <c r="D237" s="21" t="n"/>
      <c r="E237" s="22" t="n"/>
      <c r="F237" s="23" t="n"/>
      <c r="G237" s="23" t="n"/>
      <c r="H237" s="23" t="n"/>
      <c r="I237" s="24" t="n"/>
      <c r="J237" s="25" t="n"/>
      <c r="K237" s="25" t="n"/>
      <c r="L237" s="25" t="n"/>
      <c r="M237" s="25" t="n"/>
      <c r="N237" s="26" t="n"/>
      <c r="O237" s="26" t="n"/>
      <c r="P237" s="27" t="str">
        <f>IF(OR(J237="",K237="",I237="",AF237=0,AD237=""),"",(K237-J237)*AF237*I237*AD237*AE237)</f>
        <v/>
      </c>
      <c r="Q237" s="26" t="n"/>
      <c r="R237" s="28" t="str">
        <f>IF(Q237&lt;&gt;"",Q237,IF(P237="","",P237-N(N237)+N(O237)))</f>
        <v/>
      </c>
      <c r="S237" s="27" t="str">
        <f>IF(OR(L237="",J237="",I237="",AD237=""),"",ABS(J237-L237)*I237*AD237*AE237)</f>
        <v/>
      </c>
      <c r="T237" s="29" t="str">
        <f>IF(OR(R237="",S237="",S237=0),"",R237/S237)</f>
        <v/>
      </c>
      <c r="U237" s="20" t="str">
        <f>IF(R237="","",IF(R237&gt;0,"Ganadora",IF(R237&lt;0,"Perdedora","BE")))</f>
        <v/>
      </c>
      <c r="V237" s="23" t="n"/>
      <c r="W237" s="23" t="n"/>
      <c r="X237" s="23" t="n"/>
      <c r="Y237" s="23" t="n"/>
      <c r="Z237" s="23" t="n"/>
      <c r="AA237" s="23" t="n"/>
      <c r="AB237" s="30" t="n"/>
      <c r="AC237" s="1" t="n"/>
      <c r="AD237" s="1" t="str">
        <f>IF(G237="","",IFERROR(INDEX('Listas'!$N$6:$N$35,MATCH(G237,'Listas'!$M$6:$M$35,0)),""))</f>
        <v/>
      </c>
      <c r="AE237">
        <f>IF(G237="",1,IFERROR(INDEX('Listas'!$P$6:$P$35,MATCH(G237,'Listas'!$M$6:$M$35,0)),1))</f>
        <v>1</v>
      </c>
      <c r="AF237">
        <f>IF(H237="Compra",1,IF(H237="Venta",-1,0))</f>
        <v>0</v>
      </c>
      <c r="AG237">
        <f>IF(AND(D237&lt;&gt;"",ISNUMBER(R237)),1,0)</f>
        <v>0</v>
      </c>
      <c r="AH237">
        <f>IF(AG237=0,0,IF(OR('Panel'!$D$5="Todas las cuentas",'Panel'!$D$5="",F237='Panel'!$D$5),1,0))</f>
        <v>0</v>
      </c>
      <c r="AI237">
        <f>IF(AH237=0,0,IF(AND(OR('Panel'!$G$5="",D237&gt;='Panel'!$G$5),OR('Panel'!$J$5="",D237&lt;='Panel'!$J$5)),1,0))</f>
        <v>0</v>
      </c>
      <c r="AJ237">
        <f>IF(AI237=1,R237,0)</f>
        <v>0</v>
      </c>
      <c r="AK237" t="str">
        <f>IF(AI237=1,'Panel'!$AB$4+SUM($AJ$5:AJ237),"")</f>
        <v/>
      </c>
      <c r="AL237">
        <f>IF(AI237=0,N(AL236),IF(R237&lt;0,N(AL236)+1,0))</f>
        <v>1</v>
      </c>
      <c r="AM237">
        <f>IF(AI237=0,N(AM236),IF(R237&gt;0,N(AM236)+1,0))</f>
        <v>0</v>
      </c>
      <c r="AN237">
        <f>IF(AI237=1,MAX('Panel'!$AB$4,N(AN236),AK237),N(AN236))</f>
        <v>21371.061500000033</v>
      </c>
      <c r="AO237">
        <f>IF(AI237=1,AN237-AK237,0)</f>
        <v>0</v>
      </c>
      <c r="AP237">
        <f>IF(AND(AI237=1,AN237&gt;0),AO237/AN237,0)</f>
        <v>0</v>
      </c>
      <c r="AQ237" t="str">
        <f>IF(AI237=1,SUM($AI$5:AI237),"")</f>
        <v/>
      </c>
      <c r="AR237" t="str">
        <f>IF(AI237=1,IF(COUNTIFS($D$5:D237,D237,$AI$5:AI237,1)=1,SUMIFS($AJ$5:$AJ$504,$D$5:$D$504,D237),""),"")</f>
        <v/>
      </c>
      <c r="AS237" t="str">
        <f>IF(AG237=1,WEEKDAY(D237,2),"")</f>
        <v/>
      </c>
      <c r="AT237" s="31" t="str">
        <f>IF(AG237=1,DATE(YEAR(D237),MONTH(D237),1),"")</f>
        <v/>
      </c>
      <c r="AU237">
        <f>IF(AG237=0,0,IF(AND(OR('Prop challenge'!$D$7="",F237='Prop challenge'!$D$7),OR('Prop challenge'!$D$9="",D237&gt;='Prop challenge'!$D$9)),1,0))</f>
        <v>0</v>
      </c>
      <c r="AV237">
        <f>IF(AU237=1,IF(COUNTIFS($D$5:D237,D237,$AU$5:AU237,1)=1,1,0),0)</f>
        <v>0</v>
      </c>
      <c r="AW237" t="str">
        <f>IF(AV237=1,SUM($AV$5:AV237),"")</f>
        <v/>
      </c>
      <c r="AX237" t="str">
        <f>IF(AV237=1,SUMIFS($R$5:$R$504,$D$5:$D$504,D237,$AU$5:$AU$504,1),"")</f>
        <v/>
      </c>
    </row>
    <row r="238">
      <c r="A238" s="20" t="str">
        <f>IF(AG238=1,ROW()-4,"")</f>
        <v/>
      </c>
      <c r="B238" s="21" t="n"/>
      <c r="C238" s="22" t="n"/>
      <c r="D238" s="21" t="n"/>
      <c r="E238" s="22" t="n"/>
      <c r="F238" s="23" t="n"/>
      <c r="G238" s="23" t="n"/>
      <c r="H238" s="23" t="n"/>
      <c r="I238" s="24" t="n"/>
      <c r="J238" s="25" t="n"/>
      <c r="K238" s="25" t="n"/>
      <c r="L238" s="25" t="n"/>
      <c r="M238" s="25" t="n"/>
      <c r="N238" s="26" t="n"/>
      <c r="O238" s="26" t="n"/>
      <c r="P238" s="27" t="str">
        <f>IF(OR(J238="",K238="",I238="",AF238=0,AD238=""),"",(K238-J238)*AF238*I238*AD238*AE238)</f>
        <v/>
      </c>
      <c r="Q238" s="26" t="n"/>
      <c r="R238" s="28" t="str">
        <f>IF(Q238&lt;&gt;"",Q238,IF(P238="","",P238-N(N238)+N(O238)))</f>
        <v/>
      </c>
      <c r="S238" s="27" t="str">
        <f>IF(OR(L238="",J238="",I238="",AD238=""),"",ABS(J238-L238)*I238*AD238*AE238)</f>
        <v/>
      </c>
      <c r="T238" s="29" t="str">
        <f>IF(OR(R238="",S238="",S238=0),"",R238/S238)</f>
        <v/>
      </c>
      <c r="U238" s="20" t="str">
        <f>IF(R238="","",IF(R238&gt;0,"Ganadora",IF(R238&lt;0,"Perdedora","BE")))</f>
        <v/>
      </c>
      <c r="V238" s="23" t="n"/>
      <c r="W238" s="23" t="n"/>
      <c r="X238" s="23" t="n"/>
      <c r="Y238" s="23" t="n"/>
      <c r="Z238" s="23" t="n"/>
      <c r="AA238" s="23" t="n"/>
      <c r="AB238" s="30" t="n"/>
      <c r="AC238" s="1" t="n"/>
      <c r="AD238" s="1" t="str">
        <f>IF(G238="","",IFERROR(INDEX('Listas'!$N$6:$N$35,MATCH(G238,'Listas'!$M$6:$M$35,0)),""))</f>
        <v/>
      </c>
      <c r="AE238">
        <f>IF(G238="",1,IFERROR(INDEX('Listas'!$P$6:$P$35,MATCH(G238,'Listas'!$M$6:$M$35,0)),1))</f>
        <v>1</v>
      </c>
      <c r="AF238">
        <f>IF(H238="Compra",1,IF(H238="Venta",-1,0))</f>
        <v>0</v>
      </c>
      <c r="AG238">
        <f>IF(AND(D238&lt;&gt;"",ISNUMBER(R238)),1,0)</f>
        <v>0</v>
      </c>
      <c r="AH238">
        <f>IF(AG238=0,0,IF(OR('Panel'!$D$5="Todas las cuentas",'Panel'!$D$5="",F238='Panel'!$D$5),1,0))</f>
        <v>0</v>
      </c>
      <c r="AI238">
        <f>IF(AH238=0,0,IF(AND(OR('Panel'!$G$5="",D238&gt;='Panel'!$G$5),OR('Panel'!$J$5="",D238&lt;='Panel'!$J$5)),1,0))</f>
        <v>0</v>
      </c>
      <c r="AJ238">
        <f>IF(AI238=1,R238,0)</f>
        <v>0</v>
      </c>
      <c r="AK238" t="str">
        <f>IF(AI238=1,'Panel'!$AB$4+SUM($AJ$5:AJ238),"")</f>
        <v/>
      </c>
      <c r="AL238">
        <f>IF(AI238=0,N(AL237),IF(R238&lt;0,N(AL237)+1,0))</f>
        <v>1</v>
      </c>
      <c r="AM238">
        <f>IF(AI238=0,N(AM237),IF(R238&gt;0,N(AM237)+1,0))</f>
        <v>0</v>
      </c>
      <c r="AN238">
        <f>IF(AI238=1,MAX('Panel'!$AB$4,N(AN237),AK238),N(AN237))</f>
        <v>21371.061500000033</v>
      </c>
      <c r="AO238">
        <f>IF(AI238=1,AN238-AK238,0)</f>
        <v>0</v>
      </c>
      <c r="AP238">
        <f>IF(AND(AI238=1,AN238&gt;0),AO238/AN238,0)</f>
        <v>0</v>
      </c>
      <c r="AQ238" t="str">
        <f>IF(AI238=1,SUM($AI$5:AI238),"")</f>
        <v/>
      </c>
      <c r="AR238" t="str">
        <f>IF(AI238=1,IF(COUNTIFS($D$5:D238,D238,$AI$5:AI238,1)=1,SUMIFS($AJ$5:$AJ$504,$D$5:$D$504,D238),""),"")</f>
        <v/>
      </c>
      <c r="AS238" t="str">
        <f>IF(AG238=1,WEEKDAY(D238,2),"")</f>
        <v/>
      </c>
      <c r="AT238" s="31" t="str">
        <f>IF(AG238=1,DATE(YEAR(D238),MONTH(D238),1),"")</f>
        <v/>
      </c>
      <c r="AU238">
        <f>IF(AG238=0,0,IF(AND(OR('Prop challenge'!$D$7="",F238='Prop challenge'!$D$7),OR('Prop challenge'!$D$9="",D238&gt;='Prop challenge'!$D$9)),1,0))</f>
        <v>0</v>
      </c>
      <c r="AV238">
        <f>IF(AU238=1,IF(COUNTIFS($D$5:D238,D238,$AU$5:AU238,1)=1,1,0),0)</f>
        <v>0</v>
      </c>
      <c r="AW238" t="str">
        <f>IF(AV238=1,SUM($AV$5:AV238),"")</f>
        <v/>
      </c>
      <c r="AX238" t="str">
        <f>IF(AV238=1,SUMIFS($R$5:$R$504,$D$5:$D$504,D238,$AU$5:$AU$504,1),"")</f>
        <v/>
      </c>
    </row>
    <row r="239">
      <c r="A239" s="20" t="str">
        <f>IF(AG239=1,ROW()-4,"")</f>
        <v/>
      </c>
      <c r="B239" s="21" t="n"/>
      <c r="C239" s="22" t="n"/>
      <c r="D239" s="21" t="n"/>
      <c r="E239" s="22" t="n"/>
      <c r="F239" s="23" t="n"/>
      <c r="G239" s="23" t="n"/>
      <c r="H239" s="23" t="n"/>
      <c r="I239" s="24" t="n"/>
      <c r="J239" s="25" t="n"/>
      <c r="K239" s="25" t="n"/>
      <c r="L239" s="25" t="n"/>
      <c r="M239" s="25" t="n"/>
      <c r="N239" s="26" t="n"/>
      <c r="O239" s="26" t="n"/>
      <c r="P239" s="27" t="str">
        <f>IF(OR(J239="",K239="",I239="",AF239=0,AD239=""),"",(K239-J239)*AF239*I239*AD239*AE239)</f>
        <v/>
      </c>
      <c r="Q239" s="26" t="n"/>
      <c r="R239" s="28" t="str">
        <f>IF(Q239&lt;&gt;"",Q239,IF(P239="","",P239-N(N239)+N(O239)))</f>
        <v/>
      </c>
      <c r="S239" s="27" t="str">
        <f>IF(OR(L239="",J239="",I239="",AD239=""),"",ABS(J239-L239)*I239*AD239*AE239)</f>
        <v/>
      </c>
      <c r="T239" s="29" t="str">
        <f>IF(OR(R239="",S239="",S239=0),"",R239/S239)</f>
        <v/>
      </c>
      <c r="U239" s="20" t="str">
        <f>IF(R239="","",IF(R239&gt;0,"Ganadora",IF(R239&lt;0,"Perdedora","BE")))</f>
        <v/>
      </c>
      <c r="V239" s="23" t="n"/>
      <c r="W239" s="23" t="n"/>
      <c r="X239" s="23" t="n"/>
      <c r="Y239" s="23" t="n"/>
      <c r="Z239" s="23" t="n"/>
      <c r="AA239" s="23" t="n"/>
      <c r="AB239" s="30" t="n"/>
      <c r="AC239" s="1" t="n"/>
      <c r="AD239" s="1" t="str">
        <f>IF(G239="","",IFERROR(INDEX('Listas'!$N$6:$N$35,MATCH(G239,'Listas'!$M$6:$M$35,0)),""))</f>
        <v/>
      </c>
      <c r="AE239">
        <f>IF(G239="",1,IFERROR(INDEX('Listas'!$P$6:$P$35,MATCH(G239,'Listas'!$M$6:$M$35,0)),1))</f>
        <v>1</v>
      </c>
      <c r="AF239">
        <f>IF(H239="Compra",1,IF(H239="Venta",-1,0))</f>
        <v>0</v>
      </c>
      <c r="AG239">
        <f>IF(AND(D239&lt;&gt;"",ISNUMBER(R239)),1,0)</f>
        <v>0</v>
      </c>
      <c r="AH239">
        <f>IF(AG239=0,0,IF(OR('Panel'!$D$5="Todas las cuentas",'Panel'!$D$5="",F239='Panel'!$D$5),1,0))</f>
        <v>0</v>
      </c>
      <c r="AI239">
        <f>IF(AH239=0,0,IF(AND(OR('Panel'!$G$5="",D239&gt;='Panel'!$G$5),OR('Panel'!$J$5="",D239&lt;='Panel'!$J$5)),1,0))</f>
        <v>0</v>
      </c>
      <c r="AJ239">
        <f>IF(AI239=1,R239,0)</f>
        <v>0</v>
      </c>
      <c r="AK239" t="str">
        <f>IF(AI239=1,'Panel'!$AB$4+SUM($AJ$5:AJ239),"")</f>
        <v/>
      </c>
      <c r="AL239">
        <f>IF(AI239=0,N(AL238),IF(R239&lt;0,N(AL238)+1,0))</f>
        <v>1</v>
      </c>
      <c r="AM239">
        <f>IF(AI239=0,N(AM238),IF(R239&gt;0,N(AM238)+1,0))</f>
        <v>0</v>
      </c>
      <c r="AN239">
        <f>IF(AI239=1,MAX('Panel'!$AB$4,N(AN238),AK239),N(AN238))</f>
        <v>21371.061500000033</v>
      </c>
      <c r="AO239">
        <f>IF(AI239=1,AN239-AK239,0)</f>
        <v>0</v>
      </c>
      <c r="AP239">
        <f>IF(AND(AI239=1,AN239&gt;0),AO239/AN239,0)</f>
        <v>0</v>
      </c>
      <c r="AQ239" t="str">
        <f>IF(AI239=1,SUM($AI$5:AI239),"")</f>
        <v/>
      </c>
      <c r="AR239" t="str">
        <f>IF(AI239=1,IF(COUNTIFS($D$5:D239,D239,$AI$5:AI239,1)=1,SUMIFS($AJ$5:$AJ$504,$D$5:$D$504,D239),""),"")</f>
        <v/>
      </c>
      <c r="AS239" t="str">
        <f>IF(AG239=1,WEEKDAY(D239,2),"")</f>
        <v/>
      </c>
      <c r="AT239" s="31" t="str">
        <f>IF(AG239=1,DATE(YEAR(D239),MONTH(D239),1),"")</f>
        <v/>
      </c>
      <c r="AU239">
        <f>IF(AG239=0,0,IF(AND(OR('Prop challenge'!$D$7="",F239='Prop challenge'!$D$7),OR('Prop challenge'!$D$9="",D239&gt;='Prop challenge'!$D$9)),1,0))</f>
        <v>0</v>
      </c>
      <c r="AV239">
        <f>IF(AU239=1,IF(COUNTIFS($D$5:D239,D239,$AU$5:AU239,1)=1,1,0),0)</f>
        <v>0</v>
      </c>
      <c r="AW239" t="str">
        <f>IF(AV239=1,SUM($AV$5:AV239),"")</f>
        <v/>
      </c>
      <c r="AX239" t="str">
        <f>IF(AV239=1,SUMIFS($R$5:$R$504,$D$5:$D$504,D239,$AU$5:$AU$504,1),"")</f>
        <v/>
      </c>
    </row>
    <row r="240">
      <c r="A240" s="20" t="str">
        <f>IF(AG240=1,ROW()-4,"")</f>
        <v/>
      </c>
      <c r="B240" s="21" t="n"/>
      <c r="C240" s="22" t="n"/>
      <c r="D240" s="21" t="n"/>
      <c r="E240" s="22" t="n"/>
      <c r="F240" s="23" t="n"/>
      <c r="G240" s="23" t="n"/>
      <c r="H240" s="23" t="n"/>
      <c r="I240" s="24" t="n"/>
      <c r="J240" s="25" t="n"/>
      <c r="K240" s="25" t="n"/>
      <c r="L240" s="25" t="n"/>
      <c r="M240" s="25" t="n"/>
      <c r="N240" s="26" t="n"/>
      <c r="O240" s="26" t="n"/>
      <c r="P240" s="27" t="str">
        <f>IF(OR(J240="",K240="",I240="",AF240=0,AD240=""),"",(K240-J240)*AF240*I240*AD240*AE240)</f>
        <v/>
      </c>
      <c r="Q240" s="26" t="n"/>
      <c r="R240" s="28" t="str">
        <f>IF(Q240&lt;&gt;"",Q240,IF(P240="","",P240-N(N240)+N(O240)))</f>
        <v/>
      </c>
      <c r="S240" s="27" t="str">
        <f>IF(OR(L240="",J240="",I240="",AD240=""),"",ABS(J240-L240)*I240*AD240*AE240)</f>
        <v/>
      </c>
      <c r="T240" s="29" t="str">
        <f>IF(OR(R240="",S240="",S240=0),"",R240/S240)</f>
        <v/>
      </c>
      <c r="U240" s="20" t="str">
        <f>IF(R240="","",IF(R240&gt;0,"Ganadora",IF(R240&lt;0,"Perdedora","BE")))</f>
        <v/>
      </c>
      <c r="V240" s="23" t="n"/>
      <c r="W240" s="23" t="n"/>
      <c r="X240" s="23" t="n"/>
      <c r="Y240" s="23" t="n"/>
      <c r="Z240" s="23" t="n"/>
      <c r="AA240" s="23" t="n"/>
      <c r="AB240" s="30" t="n"/>
      <c r="AC240" s="1" t="n"/>
      <c r="AD240" s="1" t="str">
        <f>IF(G240="","",IFERROR(INDEX('Listas'!$N$6:$N$35,MATCH(G240,'Listas'!$M$6:$M$35,0)),""))</f>
        <v/>
      </c>
      <c r="AE240">
        <f>IF(G240="",1,IFERROR(INDEX('Listas'!$P$6:$P$35,MATCH(G240,'Listas'!$M$6:$M$35,0)),1))</f>
        <v>1</v>
      </c>
      <c r="AF240">
        <f>IF(H240="Compra",1,IF(H240="Venta",-1,0))</f>
        <v>0</v>
      </c>
      <c r="AG240">
        <f>IF(AND(D240&lt;&gt;"",ISNUMBER(R240)),1,0)</f>
        <v>0</v>
      </c>
      <c r="AH240">
        <f>IF(AG240=0,0,IF(OR('Panel'!$D$5="Todas las cuentas",'Panel'!$D$5="",F240='Panel'!$D$5),1,0))</f>
        <v>0</v>
      </c>
      <c r="AI240">
        <f>IF(AH240=0,0,IF(AND(OR('Panel'!$G$5="",D240&gt;='Panel'!$G$5),OR('Panel'!$J$5="",D240&lt;='Panel'!$J$5)),1,0))</f>
        <v>0</v>
      </c>
      <c r="AJ240">
        <f>IF(AI240=1,R240,0)</f>
        <v>0</v>
      </c>
      <c r="AK240" t="str">
        <f>IF(AI240=1,'Panel'!$AB$4+SUM($AJ$5:AJ240),"")</f>
        <v/>
      </c>
      <c r="AL240">
        <f>IF(AI240=0,N(AL239),IF(R240&lt;0,N(AL239)+1,0))</f>
        <v>1</v>
      </c>
      <c r="AM240">
        <f>IF(AI240=0,N(AM239),IF(R240&gt;0,N(AM239)+1,0))</f>
        <v>0</v>
      </c>
      <c r="AN240">
        <f>IF(AI240=1,MAX('Panel'!$AB$4,N(AN239),AK240),N(AN239))</f>
        <v>21371.061500000033</v>
      </c>
      <c r="AO240">
        <f>IF(AI240=1,AN240-AK240,0)</f>
        <v>0</v>
      </c>
      <c r="AP240">
        <f>IF(AND(AI240=1,AN240&gt;0),AO240/AN240,0)</f>
        <v>0</v>
      </c>
      <c r="AQ240" t="str">
        <f>IF(AI240=1,SUM($AI$5:AI240),"")</f>
        <v/>
      </c>
      <c r="AR240" t="str">
        <f>IF(AI240=1,IF(COUNTIFS($D$5:D240,D240,$AI$5:AI240,1)=1,SUMIFS($AJ$5:$AJ$504,$D$5:$D$504,D240),""),"")</f>
        <v/>
      </c>
      <c r="AS240" t="str">
        <f>IF(AG240=1,WEEKDAY(D240,2),"")</f>
        <v/>
      </c>
      <c r="AT240" s="31" t="str">
        <f>IF(AG240=1,DATE(YEAR(D240),MONTH(D240),1),"")</f>
        <v/>
      </c>
      <c r="AU240">
        <f>IF(AG240=0,0,IF(AND(OR('Prop challenge'!$D$7="",F240='Prop challenge'!$D$7),OR('Prop challenge'!$D$9="",D240&gt;='Prop challenge'!$D$9)),1,0))</f>
        <v>0</v>
      </c>
      <c r="AV240">
        <f>IF(AU240=1,IF(COUNTIFS($D$5:D240,D240,$AU$5:AU240,1)=1,1,0),0)</f>
        <v>0</v>
      </c>
      <c r="AW240" t="str">
        <f>IF(AV240=1,SUM($AV$5:AV240),"")</f>
        <v/>
      </c>
      <c r="AX240" t="str">
        <f>IF(AV240=1,SUMIFS($R$5:$R$504,$D$5:$D$504,D240,$AU$5:$AU$504,1),"")</f>
        <v/>
      </c>
    </row>
    <row r="241">
      <c r="A241" s="20" t="str">
        <f>IF(AG241=1,ROW()-4,"")</f>
        <v/>
      </c>
      <c r="B241" s="21" t="n"/>
      <c r="C241" s="22" t="n"/>
      <c r="D241" s="21" t="n"/>
      <c r="E241" s="22" t="n"/>
      <c r="F241" s="23" t="n"/>
      <c r="G241" s="23" t="n"/>
      <c r="H241" s="23" t="n"/>
      <c r="I241" s="24" t="n"/>
      <c r="J241" s="25" t="n"/>
      <c r="K241" s="25" t="n"/>
      <c r="L241" s="25" t="n"/>
      <c r="M241" s="25" t="n"/>
      <c r="N241" s="26" t="n"/>
      <c r="O241" s="26" t="n"/>
      <c r="P241" s="27" t="str">
        <f>IF(OR(J241="",K241="",I241="",AF241=0,AD241=""),"",(K241-J241)*AF241*I241*AD241*AE241)</f>
        <v/>
      </c>
      <c r="Q241" s="26" t="n"/>
      <c r="R241" s="28" t="str">
        <f>IF(Q241&lt;&gt;"",Q241,IF(P241="","",P241-N(N241)+N(O241)))</f>
        <v/>
      </c>
      <c r="S241" s="27" t="str">
        <f>IF(OR(L241="",J241="",I241="",AD241=""),"",ABS(J241-L241)*I241*AD241*AE241)</f>
        <v/>
      </c>
      <c r="T241" s="29" t="str">
        <f>IF(OR(R241="",S241="",S241=0),"",R241/S241)</f>
        <v/>
      </c>
      <c r="U241" s="20" t="str">
        <f>IF(R241="","",IF(R241&gt;0,"Ganadora",IF(R241&lt;0,"Perdedora","BE")))</f>
        <v/>
      </c>
      <c r="V241" s="23" t="n"/>
      <c r="W241" s="23" t="n"/>
      <c r="X241" s="23" t="n"/>
      <c r="Y241" s="23" t="n"/>
      <c r="Z241" s="23" t="n"/>
      <c r="AA241" s="23" t="n"/>
      <c r="AB241" s="30" t="n"/>
      <c r="AC241" s="1" t="n"/>
      <c r="AD241" s="1" t="str">
        <f>IF(G241="","",IFERROR(INDEX('Listas'!$N$6:$N$35,MATCH(G241,'Listas'!$M$6:$M$35,0)),""))</f>
        <v/>
      </c>
      <c r="AE241">
        <f>IF(G241="",1,IFERROR(INDEX('Listas'!$P$6:$P$35,MATCH(G241,'Listas'!$M$6:$M$35,0)),1))</f>
        <v>1</v>
      </c>
      <c r="AF241">
        <f>IF(H241="Compra",1,IF(H241="Venta",-1,0))</f>
        <v>0</v>
      </c>
      <c r="AG241">
        <f>IF(AND(D241&lt;&gt;"",ISNUMBER(R241)),1,0)</f>
        <v>0</v>
      </c>
      <c r="AH241">
        <f>IF(AG241=0,0,IF(OR('Panel'!$D$5="Todas las cuentas",'Panel'!$D$5="",F241='Panel'!$D$5),1,0))</f>
        <v>0</v>
      </c>
      <c r="AI241">
        <f>IF(AH241=0,0,IF(AND(OR('Panel'!$G$5="",D241&gt;='Panel'!$G$5),OR('Panel'!$J$5="",D241&lt;='Panel'!$J$5)),1,0))</f>
        <v>0</v>
      </c>
      <c r="AJ241">
        <f>IF(AI241=1,R241,0)</f>
        <v>0</v>
      </c>
      <c r="AK241" t="str">
        <f>IF(AI241=1,'Panel'!$AB$4+SUM($AJ$5:AJ241),"")</f>
        <v/>
      </c>
      <c r="AL241">
        <f>IF(AI241=0,N(AL240),IF(R241&lt;0,N(AL240)+1,0))</f>
        <v>1</v>
      </c>
      <c r="AM241">
        <f>IF(AI241=0,N(AM240),IF(R241&gt;0,N(AM240)+1,0))</f>
        <v>0</v>
      </c>
      <c r="AN241">
        <f>IF(AI241=1,MAX('Panel'!$AB$4,N(AN240),AK241),N(AN240))</f>
        <v>21371.061500000033</v>
      </c>
      <c r="AO241">
        <f>IF(AI241=1,AN241-AK241,0)</f>
        <v>0</v>
      </c>
      <c r="AP241">
        <f>IF(AND(AI241=1,AN241&gt;0),AO241/AN241,0)</f>
        <v>0</v>
      </c>
      <c r="AQ241" t="str">
        <f>IF(AI241=1,SUM($AI$5:AI241),"")</f>
        <v/>
      </c>
      <c r="AR241" t="str">
        <f>IF(AI241=1,IF(COUNTIFS($D$5:D241,D241,$AI$5:AI241,1)=1,SUMIFS($AJ$5:$AJ$504,$D$5:$D$504,D241),""),"")</f>
        <v/>
      </c>
      <c r="AS241" t="str">
        <f>IF(AG241=1,WEEKDAY(D241,2),"")</f>
        <v/>
      </c>
      <c r="AT241" s="31" t="str">
        <f>IF(AG241=1,DATE(YEAR(D241),MONTH(D241),1),"")</f>
        <v/>
      </c>
      <c r="AU241">
        <f>IF(AG241=0,0,IF(AND(OR('Prop challenge'!$D$7="",F241='Prop challenge'!$D$7),OR('Prop challenge'!$D$9="",D241&gt;='Prop challenge'!$D$9)),1,0))</f>
        <v>0</v>
      </c>
      <c r="AV241">
        <f>IF(AU241=1,IF(COUNTIFS($D$5:D241,D241,$AU$5:AU241,1)=1,1,0),0)</f>
        <v>0</v>
      </c>
      <c r="AW241" t="str">
        <f>IF(AV241=1,SUM($AV$5:AV241),"")</f>
        <v/>
      </c>
      <c r="AX241" t="str">
        <f>IF(AV241=1,SUMIFS($R$5:$R$504,$D$5:$D$504,D241,$AU$5:$AU$504,1),"")</f>
        <v/>
      </c>
    </row>
    <row r="242">
      <c r="A242" s="20" t="str">
        <f>IF(AG242=1,ROW()-4,"")</f>
        <v/>
      </c>
      <c r="B242" s="21" t="n"/>
      <c r="C242" s="22" t="n"/>
      <c r="D242" s="21" t="n"/>
      <c r="E242" s="22" t="n"/>
      <c r="F242" s="23" t="n"/>
      <c r="G242" s="23" t="n"/>
      <c r="H242" s="23" t="n"/>
      <c r="I242" s="24" t="n"/>
      <c r="J242" s="25" t="n"/>
      <c r="K242" s="25" t="n"/>
      <c r="L242" s="25" t="n"/>
      <c r="M242" s="25" t="n"/>
      <c r="N242" s="26" t="n"/>
      <c r="O242" s="26" t="n"/>
      <c r="P242" s="27" t="str">
        <f>IF(OR(J242="",K242="",I242="",AF242=0,AD242=""),"",(K242-J242)*AF242*I242*AD242*AE242)</f>
        <v/>
      </c>
      <c r="Q242" s="26" t="n"/>
      <c r="R242" s="28" t="str">
        <f>IF(Q242&lt;&gt;"",Q242,IF(P242="","",P242-N(N242)+N(O242)))</f>
        <v/>
      </c>
      <c r="S242" s="27" t="str">
        <f>IF(OR(L242="",J242="",I242="",AD242=""),"",ABS(J242-L242)*I242*AD242*AE242)</f>
        <v/>
      </c>
      <c r="T242" s="29" t="str">
        <f>IF(OR(R242="",S242="",S242=0),"",R242/S242)</f>
        <v/>
      </c>
      <c r="U242" s="20" t="str">
        <f>IF(R242="","",IF(R242&gt;0,"Ganadora",IF(R242&lt;0,"Perdedora","BE")))</f>
        <v/>
      </c>
      <c r="V242" s="23" t="n"/>
      <c r="W242" s="23" t="n"/>
      <c r="X242" s="23" t="n"/>
      <c r="Y242" s="23" t="n"/>
      <c r="Z242" s="23" t="n"/>
      <c r="AA242" s="23" t="n"/>
      <c r="AB242" s="30" t="n"/>
      <c r="AC242" s="1" t="n"/>
      <c r="AD242" s="1" t="str">
        <f>IF(G242="","",IFERROR(INDEX('Listas'!$N$6:$N$35,MATCH(G242,'Listas'!$M$6:$M$35,0)),""))</f>
        <v/>
      </c>
      <c r="AE242">
        <f>IF(G242="",1,IFERROR(INDEX('Listas'!$P$6:$P$35,MATCH(G242,'Listas'!$M$6:$M$35,0)),1))</f>
        <v>1</v>
      </c>
      <c r="AF242">
        <f>IF(H242="Compra",1,IF(H242="Venta",-1,0))</f>
        <v>0</v>
      </c>
      <c r="AG242">
        <f>IF(AND(D242&lt;&gt;"",ISNUMBER(R242)),1,0)</f>
        <v>0</v>
      </c>
      <c r="AH242">
        <f>IF(AG242=0,0,IF(OR('Panel'!$D$5="Todas las cuentas",'Panel'!$D$5="",F242='Panel'!$D$5),1,0))</f>
        <v>0</v>
      </c>
      <c r="AI242">
        <f>IF(AH242=0,0,IF(AND(OR('Panel'!$G$5="",D242&gt;='Panel'!$G$5),OR('Panel'!$J$5="",D242&lt;='Panel'!$J$5)),1,0))</f>
        <v>0</v>
      </c>
      <c r="AJ242">
        <f>IF(AI242=1,R242,0)</f>
        <v>0</v>
      </c>
      <c r="AK242" t="str">
        <f>IF(AI242=1,'Panel'!$AB$4+SUM($AJ$5:AJ242),"")</f>
        <v/>
      </c>
      <c r="AL242">
        <f>IF(AI242=0,N(AL241),IF(R242&lt;0,N(AL241)+1,0))</f>
        <v>1</v>
      </c>
      <c r="AM242">
        <f>IF(AI242=0,N(AM241),IF(R242&gt;0,N(AM241)+1,0))</f>
        <v>0</v>
      </c>
      <c r="AN242">
        <f>IF(AI242=1,MAX('Panel'!$AB$4,N(AN241),AK242),N(AN241))</f>
        <v>21371.061500000033</v>
      </c>
      <c r="AO242">
        <f>IF(AI242=1,AN242-AK242,0)</f>
        <v>0</v>
      </c>
      <c r="AP242">
        <f>IF(AND(AI242=1,AN242&gt;0),AO242/AN242,0)</f>
        <v>0</v>
      </c>
      <c r="AQ242" t="str">
        <f>IF(AI242=1,SUM($AI$5:AI242),"")</f>
        <v/>
      </c>
      <c r="AR242" t="str">
        <f>IF(AI242=1,IF(COUNTIFS($D$5:D242,D242,$AI$5:AI242,1)=1,SUMIFS($AJ$5:$AJ$504,$D$5:$D$504,D242),""),"")</f>
        <v/>
      </c>
      <c r="AS242" t="str">
        <f>IF(AG242=1,WEEKDAY(D242,2),"")</f>
        <v/>
      </c>
      <c r="AT242" s="31" t="str">
        <f>IF(AG242=1,DATE(YEAR(D242),MONTH(D242),1),"")</f>
        <v/>
      </c>
      <c r="AU242">
        <f>IF(AG242=0,0,IF(AND(OR('Prop challenge'!$D$7="",F242='Prop challenge'!$D$7),OR('Prop challenge'!$D$9="",D242&gt;='Prop challenge'!$D$9)),1,0))</f>
        <v>0</v>
      </c>
      <c r="AV242">
        <f>IF(AU242=1,IF(COUNTIFS($D$5:D242,D242,$AU$5:AU242,1)=1,1,0),0)</f>
        <v>0</v>
      </c>
      <c r="AW242" t="str">
        <f>IF(AV242=1,SUM($AV$5:AV242),"")</f>
        <v/>
      </c>
      <c r="AX242" t="str">
        <f>IF(AV242=1,SUMIFS($R$5:$R$504,$D$5:$D$504,D242,$AU$5:$AU$504,1),"")</f>
        <v/>
      </c>
    </row>
    <row r="243">
      <c r="A243" s="20" t="str">
        <f>IF(AG243=1,ROW()-4,"")</f>
        <v/>
      </c>
      <c r="B243" s="21" t="n"/>
      <c r="C243" s="22" t="n"/>
      <c r="D243" s="21" t="n"/>
      <c r="E243" s="22" t="n"/>
      <c r="F243" s="23" t="n"/>
      <c r="G243" s="23" t="n"/>
      <c r="H243" s="23" t="n"/>
      <c r="I243" s="24" t="n"/>
      <c r="J243" s="25" t="n"/>
      <c r="K243" s="25" t="n"/>
      <c r="L243" s="25" t="n"/>
      <c r="M243" s="25" t="n"/>
      <c r="N243" s="26" t="n"/>
      <c r="O243" s="26" t="n"/>
      <c r="P243" s="27" t="str">
        <f>IF(OR(J243="",K243="",I243="",AF243=0,AD243=""),"",(K243-J243)*AF243*I243*AD243*AE243)</f>
        <v/>
      </c>
      <c r="Q243" s="26" t="n"/>
      <c r="R243" s="28" t="str">
        <f>IF(Q243&lt;&gt;"",Q243,IF(P243="","",P243-N(N243)+N(O243)))</f>
        <v/>
      </c>
      <c r="S243" s="27" t="str">
        <f>IF(OR(L243="",J243="",I243="",AD243=""),"",ABS(J243-L243)*I243*AD243*AE243)</f>
        <v/>
      </c>
      <c r="T243" s="29" t="str">
        <f>IF(OR(R243="",S243="",S243=0),"",R243/S243)</f>
        <v/>
      </c>
      <c r="U243" s="20" t="str">
        <f>IF(R243="","",IF(R243&gt;0,"Ganadora",IF(R243&lt;0,"Perdedora","BE")))</f>
        <v/>
      </c>
      <c r="V243" s="23" t="n"/>
      <c r="W243" s="23" t="n"/>
      <c r="X243" s="23" t="n"/>
      <c r="Y243" s="23" t="n"/>
      <c r="Z243" s="23" t="n"/>
      <c r="AA243" s="23" t="n"/>
      <c r="AB243" s="30" t="n"/>
      <c r="AC243" s="1" t="n"/>
      <c r="AD243" s="1" t="str">
        <f>IF(G243="","",IFERROR(INDEX('Listas'!$N$6:$N$35,MATCH(G243,'Listas'!$M$6:$M$35,0)),""))</f>
        <v/>
      </c>
      <c r="AE243">
        <f>IF(G243="",1,IFERROR(INDEX('Listas'!$P$6:$P$35,MATCH(G243,'Listas'!$M$6:$M$35,0)),1))</f>
        <v>1</v>
      </c>
      <c r="AF243">
        <f>IF(H243="Compra",1,IF(H243="Venta",-1,0))</f>
        <v>0</v>
      </c>
      <c r="AG243">
        <f>IF(AND(D243&lt;&gt;"",ISNUMBER(R243)),1,0)</f>
        <v>0</v>
      </c>
      <c r="AH243">
        <f>IF(AG243=0,0,IF(OR('Panel'!$D$5="Todas las cuentas",'Panel'!$D$5="",F243='Panel'!$D$5),1,0))</f>
        <v>0</v>
      </c>
      <c r="AI243">
        <f>IF(AH243=0,0,IF(AND(OR('Panel'!$G$5="",D243&gt;='Panel'!$G$5),OR('Panel'!$J$5="",D243&lt;='Panel'!$J$5)),1,0))</f>
        <v>0</v>
      </c>
      <c r="AJ243">
        <f>IF(AI243=1,R243,0)</f>
        <v>0</v>
      </c>
      <c r="AK243" t="str">
        <f>IF(AI243=1,'Panel'!$AB$4+SUM($AJ$5:AJ243),"")</f>
        <v/>
      </c>
      <c r="AL243">
        <f>IF(AI243=0,N(AL242),IF(R243&lt;0,N(AL242)+1,0))</f>
        <v>1</v>
      </c>
      <c r="AM243">
        <f>IF(AI243=0,N(AM242),IF(R243&gt;0,N(AM242)+1,0))</f>
        <v>0</v>
      </c>
      <c r="AN243">
        <f>IF(AI243=1,MAX('Panel'!$AB$4,N(AN242),AK243),N(AN242))</f>
        <v>21371.061500000033</v>
      </c>
      <c r="AO243">
        <f>IF(AI243=1,AN243-AK243,0)</f>
        <v>0</v>
      </c>
      <c r="AP243">
        <f>IF(AND(AI243=1,AN243&gt;0),AO243/AN243,0)</f>
        <v>0</v>
      </c>
      <c r="AQ243" t="str">
        <f>IF(AI243=1,SUM($AI$5:AI243),"")</f>
        <v/>
      </c>
      <c r="AR243" t="str">
        <f>IF(AI243=1,IF(COUNTIFS($D$5:D243,D243,$AI$5:AI243,1)=1,SUMIFS($AJ$5:$AJ$504,$D$5:$D$504,D243),""),"")</f>
        <v/>
      </c>
      <c r="AS243" t="str">
        <f>IF(AG243=1,WEEKDAY(D243,2),"")</f>
        <v/>
      </c>
      <c r="AT243" s="31" t="str">
        <f>IF(AG243=1,DATE(YEAR(D243),MONTH(D243),1),"")</f>
        <v/>
      </c>
      <c r="AU243">
        <f>IF(AG243=0,0,IF(AND(OR('Prop challenge'!$D$7="",F243='Prop challenge'!$D$7),OR('Prop challenge'!$D$9="",D243&gt;='Prop challenge'!$D$9)),1,0))</f>
        <v>0</v>
      </c>
      <c r="AV243">
        <f>IF(AU243=1,IF(COUNTIFS($D$5:D243,D243,$AU$5:AU243,1)=1,1,0),0)</f>
        <v>0</v>
      </c>
      <c r="AW243" t="str">
        <f>IF(AV243=1,SUM($AV$5:AV243),"")</f>
        <v/>
      </c>
      <c r="AX243" t="str">
        <f>IF(AV243=1,SUMIFS($R$5:$R$504,$D$5:$D$504,D243,$AU$5:$AU$504,1),"")</f>
        <v/>
      </c>
    </row>
    <row r="244">
      <c r="A244" s="20" t="str">
        <f>IF(AG244=1,ROW()-4,"")</f>
        <v/>
      </c>
      <c r="B244" s="21" t="n"/>
      <c r="C244" s="22" t="n"/>
      <c r="D244" s="21" t="n"/>
      <c r="E244" s="22" t="n"/>
      <c r="F244" s="23" t="n"/>
      <c r="G244" s="23" t="n"/>
      <c r="H244" s="23" t="n"/>
      <c r="I244" s="24" t="n"/>
      <c r="J244" s="25" t="n"/>
      <c r="K244" s="25" t="n"/>
      <c r="L244" s="25" t="n"/>
      <c r="M244" s="25" t="n"/>
      <c r="N244" s="26" t="n"/>
      <c r="O244" s="26" t="n"/>
      <c r="P244" s="27" t="str">
        <f>IF(OR(J244="",K244="",I244="",AF244=0,AD244=""),"",(K244-J244)*AF244*I244*AD244*AE244)</f>
        <v/>
      </c>
      <c r="Q244" s="26" t="n"/>
      <c r="R244" s="28" t="str">
        <f>IF(Q244&lt;&gt;"",Q244,IF(P244="","",P244-N(N244)+N(O244)))</f>
        <v/>
      </c>
      <c r="S244" s="27" t="str">
        <f>IF(OR(L244="",J244="",I244="",AD244=""),"",ABS(J244-L244)*I244*AD244*AE244)</f>
        <v/>
      </c>
      <c r="T244" s="29" t="str">
        <f>IF(OR(R244="",S244="",S244=0),"",R244/S244)</f>
        <v/>
      </c>
      <c r="U244" s="20" t="str">
        <f>IF(R244="","",IF(R244&gt;0,"Ganadora",IF(R244&lt;0,"Perdedora","BE")))</f>
        <v/>
      </c>
      <c r="V244" s="23" t="n"/>
      <c r="W244" s="23" t="n"/>
      <c r="X244" s="23" t="n"/>
      <c r="Y244" s="23" t="n"/>
      <c r="Z244" s="23" t="n"/>
      <c r="AA244" s="23" t="n"/>
      <c r="AB244" s="30" t="n"/>
      <c r="AC244" s="1" t="n"/>
      <c r="AD244" s="1" t="str">
        <f>IF(G244="","",IFERROR(INDEX('Listas'!$N$6:$N$35,MATCH(G244,'Listas'!$M$6:$M$35,0)),""))</f>
        <v/>
      </c>
      <c r="AE244">
        <f>IF(G244="",1,IFERROR(INDEX('Listas'!$P$6:$P$35,MATCH(G244,'Listas'!$M$6:$M$35,0)),1))</f>
        <v>1</v>
      </c>
      <c r="AF244">
        <f>IF(H244="Compra",1,IF(H244="Venta",-1,0))</f>
        <v>0</v>
      </c>
      <c r="AG244">
        <f>IF(AND(D244&lt;&gt;"",ISNUMBER(R244)),1,0)</f>
        <v>0</v>
      </c>
      <c r="AH244">
        <f>IF(AG244=0,0,IF(OR('Panel'!$D$5="Todas las cuentas",'Panel'!$D$5="",F244='Panel'!$D$5),1,0))</f>
        <v>0</v>
      </c>
      <c r="AI244">
        <f>IF(AH244=0,0,IF(AND(OR('Panel'!$G$5="",D244&gt;='Panel'!$G$5),OR('Panel'!$J$5="",D244&lt;='Panel'!$J$5)),1,0))</f>
        <v>0</v>
      </c>
      <c r="AJ244">
        <f>IF(AI244=1,R244,0)</f>
        <v>0</v>
      </c>
      <c r="AK244" t="str">
        <f>IF(AI244=1,'Panel'!$AB$4+SUM($AJ$5:AJ244),"")</f>
        <v/>
      </c>
      <c r="AL244">
        <f>IF(AI244=0,N(AL243),IF(R244&lt;0,N(AL243)+1,0))</f>
        <v>1</v>
      </c>
      <c r="AM244">
        <f>IF(AI244=0,N(AM243),IF(R244&gt;0,N(AM243)+1,0))</f>
        <v>0</v>
      </c>
      <c r="AN244">
        <f>IF(AI244=1,MAX('Panel'!$AB$4,N(AN243),AK244),N(AN243))</f>
        <v>21371.061500000033</v>
      </c>
      <c r="AO244">
        <f>IF(AI244=1,AN244-AK244,0)</f>
        <v>0</v>
      </c>
      <c r="AP244">
        <f>IF(AND(AI244=1,AN244&gt;0),AO244/AN244,0)</f>
        <v>0</v>
      </c>
      <c r="AQ244" t="str">
        <f>IF(AI244=1,SUM($AI$5:AI244),"")</f>
        <v/>
      </c>
      <c r="AR244" t="str">
        <f>IF(AI244=1,IF(COUNTIFS($D$5:D244,D244,$AI$5:AI244,1)=1,SUMIFS($AJ$5:$AJ$504,$D$5:$D$504,D244),""),"")</f>
        <v/>
      </c>
      <c r="AS244" t="str">
        <f>IF(AG244=1,WEEKDAY(D244,2),"")</f>
        <v/>
      </c>
      <c r="AT244" s="31" t="str">
        <f>IF(AG244=1,DATE(YEAR(D244),MONTH(D244),1),"")</f>
        <v/>
      </c>
      <c r="AU244">
        <f>IF(AG244=0,0,IF(AND(OR('Prop challenge'!$D$7="",F244='Prop challenge'!$D$7),OR('Prop challenge'!$D$9="",D244&gt;='Prop challenge'!$D$9)),1,0))</f>
        <v>0</v>
      </c>
      <c r="AV244">
        <f>IF(AU244=1,IF(COUNTIFS($D$5:D244,D244,$AU$5:AU244,1)=1,1,0),0)</f>
        <v>0</v>
      </c>
      <c r="AW244" t="str">
        <f>IF(AV244=1,SUM($AV$5:AV244),"")</f>
        <v/>
      </c>
      <c r="AX244" t="str">
        <f>IF(AV244=1,SUMIFS($R$5:$R$504,$D$5:$D$504,D244,$AU$5:$AU$504,1),"")</f>
        <v/>
      </c>
    </row>
    <row r="245">
      <c r="A245" s="20" t="str">
        <f>IF(AG245=1,ROW()-4,"")</f>
        <v/>
      </c>
      <c r="B245" s="21" t="n"/>
      <c r="C245" s="22" t="n"/>
      <c r="D245" s="21" t="n"/>
      <c r="E245" s="22" t="n"/>
      <c r="F245" s="23" t="n"/>
      <c r="G245" s="23" t="n"/>
      <c r="H245" s="23" t="n"/>
      <c r="I245" s="24" t="n"/>
      <c r="J245" s="25" t="n"/>
      <c r="K245" s="25" t="n"/>
      <c r="L245" s="25" t="n"/>
      <c r="M245" s="25" t="n"/>
      <c r="N245" s="26" t="n"/>
      <c r="O245" s="26" t="n"/>
      <c r="P245" s="27" t="str">
        <f>IF(OR(J245="",K245="",I245="",AF245=0,AD245=""),"",(K245-J245)*AF245*I245*AD245*AE245)</f>
        <v/>
      </c>
      <c r="Q245" s="26" t="n"/>
      <c r="R245" s="28" t="str">
        <f>IF(Q245&lt;&gt;"",Q245,IF(P245="","",P245-N(N245)+N(O245)))</f>
        <v/>
      </c>
      <c r="S245" s="27" t="str">
        <f>IF(OR(L245="",J245="",I245="",AD245=""),"",ABS(J245-L245)*I245*AD245*AE245)</f>
        <v/>
      </c>
      <c r="T245" s="29" t="str">
        <f>IF(OR(R245="",S245="",S245=0),"",R245/S245)</f>
        <v/>
      </c>
      <c r="U245" s="20" t="str">
        <f>IF(R245="","",IF(R245&gt;0,"Ganadora",IF(R245&lt;0,"Perdedora","BE")))</f>
        <v/>
      </c>
      <c r="V245" s="23" t="n"/>
      <c r="W245" s="23" t="n"/>
      <c r="X245" s="23" t="n"/>
      <c r="Y245" s="23" t="n"/>
      <c r="Z245" s="23" t="n"/>
      <c r="AA245" s="23" t="n"/>
      <c r="AB245" s="30" t="n"/>
      <c r="AC245" s="1" t="n"/>
      <c r="AD245" s="1" t="str">
        <f>IF(G245="","",IFERROR(INDEX('Listas'!$N$6:$N$35,MATCH(G245,'Listas'!$M$6:$M$35,0)),""))</f>
        <v/>
      </c>
      <c r="AE245">
        <f>IF(G245="",1,IFERROR(INDEX('Listas'!$P$6:$P$35,MATCH(G245,'Listas'!$M$6:$M$35,0)),1))</f>
        <v>1</v>
      </c>
      <c r="AF245">
        <f>IF(H245="Compra",1,IF(H245="Venta",-1,0))</f>
        <v>0</v>
      </c>
      <c r="AG245">
        <f>IF(AND(D245&lt;&gt;"",ISNUMBER(R245)),1,0)</f>
        <v>0</v>
      </c>
      <c r="AH245">
        <f>IF(AG245=0,0,IF(OR('Panel'!$D$5="Todas las cuentas",'Panel'!$D$5="",F245='Panel'!$D$5),1,0))</f>
        <v>0</v>
      </c>
      <c r="AI245">
        <f>IF(AH245=0,0,IF(AND(OR('Panel'!$G$5="",D245&gt;='Panel'!$G$5),OR('Panel'!$J$5="",D245&lt;='Panel'!$J$5)),1,0))</f>
        <v>0</v>
      </c>
      <c r="AJ245">
        <f>IF(AI245=1,R245,0)</f>
        <v>0</v>
      </c>
      <c r="AK245" t="str">
        <f>IF(AI245=1,'Panel'!$AB$4+SUM($AJ$5:AJ245),"")</f>
        <v/>
      </c>
      <c r="AL245">
        <f>IF(AI245=0,N(AL244),IF(R245&lt;0,N(AL244)+1,0))</f>
        <v>1</v>
      </c>
      <c r="AM245">
        <f>IF(AI245=0,N(AM244),IF(R245&gt;0,N(AM244)+1,0))</f>
        <v>0</v>
      </c>
      <c r="AN245">
        <f>IF(AI245=1,MAX('Panel'!$AB$4,N(AN244),AK245),N(AN244))</f>
        <v>21371.061500000033</v>
      </c>
      <c r="AO245">
        <f>IF(AI245=1,AN245-AK245,0)</f>
        <v>0</v>
      </c>
      <c r="AP245">
        <f>IF(AND(AI245=1,AN245&gt;0),AO245/AN245,0)</f>
        <v>0</v>
      </c>
      <c r="AQ245" t="str">
        <f>IF(AI245=1,SUM($AI$5:AI245),"")</f>
        <v/>
      </c>
      <c r="AR245" t="str">
        <f>IF(AI245=1,IF(COUNTIFS($D$5:D245,D245,$AI$5:AI245,1)=1,SUMIFS($AJ$5:$AJ$504,$D$5:$D$504,D245),""),"")</f>
        <v/>
      </c>
      <c r="AS245" t="str">
        <f>IF(AG245=1,WEEKDAY(D245,2),"")</f>
        <v/>
      </c>
      <c r="AT245" s="31" t="str">
        <f>IF(AG245=1,DATE(YEAR(D245),MONTH(D245),1),"")</f>
        <v/>
      </c>
      <c r="AU245">
        <f>IF(AG245=0,0,IF(AND(OR('Prop challenge'!$D$7="",F245='Prop challenge'!$D$7),OR('Prop challenge'!$D$9="",D245&gt;='Prop challenge'!$D$9)),1,0))</f>
        <v>0</v>
      </c>
      <c r="AV245">
        <f>IF(AU245=1,IF(COUNTIFS($D$5:D245,D245,$AU$5:AU245,1)=1,1,0),0)</f>
        <v>0</v>
      </c>
      <c r="AW245" t="str">
        <f>IF(AV245=1,SUM($AV$5:AV245),"")</f>
        <v/>
      </c>
      <c r="AX245" t="str">
        <f>IF(AV245=1,SUMIFS($R$5:$R$504,$D$5:$D$504,D245,$AU$5:$AU$504,1),"")</f>
        <v/>
      </c>
    </row>
    <row r="246">
      <c r="A246" s="20" t="str">
        <f>IF(AG246=1,ROW()-4,"")</f>
        <v/>
      </c>
      <c r="B246" s="21" t="n"/>
      <c r="C246" s="22" t="n"/>
      <c r="D246" s="21" t="n"/>
      <c r="E246" s="22" t="n"/>
      <c r="F246" s="23" t="n"/>
      <c r="G246" s="23" t="n"/>
      <c r="H246" s="23" t="n"/>
      <c r="I246" s="24" t="n"/>
      <c r="J246" s="25" t="n"/>
      <c r="K246" s="25" t="n"/>
      <c r="L246" s="25" t="n"/>
      <c r="M246" s="25" t="n"/>
      <c r="N246" s="26" t="n"/>
      <c r="O246" s="26" t="n"/>
      <c r="P246" s="27" t="str">
        <f>IF(OR(J246="",K246="",I246="",AF246=0,AD246=""),"",(K246-J246)*AF246*I246*AD246*AE246)</f>
        <v/>
      </c>
      <c r="Q246" s="26" t="n"/>
      <c r="R246" s="28" t="str">
        <f>IF(Q246&lt;&gt;"",Q246,IF(P246="","",P246-N(N246)+N(O246)))</f>
        <v/>
      </c>
      <c r="S246" s="27" t="str">
        <f>IF(OR(L246="",J246="",I246="",AD246=""),"",ABS(J246-L246)*I246*AD246*AE246)</f>
        <v/>
      </c>
      <c r="T246" s="29" t="str">
        <f>IF(OR(R246="",S246="",S246=0),"",R246/S246)</f>
        <v/>
      </c>
      <c r="U246" s="20" t="str">
        <f>IF(R246="","",IF(R246&gt;0,"Ganadora",IF(R246&lt;0,"Perdedora","BE")))</f>
        <v/>
      </c>
      <c r="V246" s="23" t="n"/>
      <c r="W246" s="23" t="n"/>
      <c r="X246" s="23" t="n"/>
      <c r="Y246" s="23" t="n"/>
      <c r="Z246" s="23" t="n"/>
      <c r="AA246" s="23" t="n"/>
      <c r="AB246" s="30" t="n"/>
      <c r="AC246" s="1" t="n"/>
      <c r="AD246" s="1" t="str">
        <f>IF(G246="","",IFERROR(INDEX('Listas'!$N$6:$N$35,MATCH(G246,'Listas'!$M$6:$M$35,0)),""))</f>
        <v/>
      </c>
      <c r="AE246">
        <f>IF(G246="",1,IFERROR(INDEX('Listas'!$P$6:$P$35,MATCH(G246,'Listas'!$M$6:$M$35,0)),1))</f>
        <v>1</v>
      </c>
      <c r="AF246">
        <f>IF(H246="Compra",1,IF(H246="Venta",-1,0))</f>
        <v>0</v>
      </c>
      <c r="AG246">
        <f>IF(AND(D246&lt;&gt;"",ISNUMBER(R246)),1,0)</f>
        <v>0</v>
      </c>
      <c r="AH246">
        <f>IF(AG246=0,0,IF(OR('Panel'!$D$5="Todas las cuentas",'Panel'!$D$5="",F246='Panel'!$D$5),1,0))</f>
        <v>0</v>
      </c>
      <c r="AI246">
        <f>IF(AH246=0,0,IF(AND(OR('Panel'!$G$5="",D246&gt;='Panel'!$G$5),OR('Panel'!$J$5="",D246&lt;='Panel'!$J$5)),1,0))</f>
        <v>0</v>
      </c>
      <c r="AJ246">
        <f>IF(AI246=1,R246,0)</f>
        <v>0</v>
      </c>
      <c r="AK246" t="str">
        <f>IF(AI246=1,'Panel'!$AB$4+SUM($AJ$5:AJ246),"")</f>
        <v/>
      </c>
      <c r="AL246">
        <f>IF(AI246=0,N(AL245),IF(R246&lt;0,N(AL245)+1,0))</f>
        <v>1</v>
      </c>
      <c r="AM246">
        <f>IF(AI246=0,N(AM245),IF(R246&gt;0,N(AM245)+1,0))</f>
        <v>0</v>
      </c>
      <c r="AN246">
        <f>IF(AI246=1,MAX('Panel'!$AB$4,N(AN245),AK246),N(AN245))</f>
        <v>21371.061500000033</v>
      </c>
      <c r="AO246">
        <f>IF(AI246=1,AN246-AK246,0)</f>
        <v>0</v>
      </c>
      <c r="AP246">
        <f>IF(AND(AI246=1,AN246&gt;0),AO246/AN246,0)</f>
        <v>0</v>
      </c>
      <c r="AQ246" t="str">
        <f>IF(AI246=1,SUM($AI$5:AI246),"")</f>
        <v/>
      </c>
      <c r="AR246" t="str">
        <f>IF(AI246=1,IF(COUNTIFS($D$5:D246,D246,$AI$5:AI246,1)=1,SUMIFS($AJ$5:$AJ$504,$D$5:$D$504,D246),""),"")</f>
        <v/>
      </c>
      <c r="AS246" t="str">
        <f>IF(AG246=1,WEEKDAY(D246,2),"")</f>
        <v/>
      </c>
      <c r="AT246" s="31" t="str">
        <f>IF(AG246=1,DATE(YEAR(D246),MONTH(D246),1),"")</f>
        <v/>
      </c>
      <c r="AU246">
        <f>IF(AG246=0,0,IF(AND(OR('Prop challenge'!$D$7="",F246='Prop challenge'!$D$7),OR('Prop challenge'!$D$9="",D246&gt;='Prop challenge'!$D$9)),1,0))</f>
        <v>0</v>
      </c>
      <c r="AV246">
        <f>IF(AU246=1,IF(COUNTIFS($D$5:D246,D246,$AU$5:AU246,1)=1,1,0),0)</f>
        <v>0</v>
      </c>
      <c r="AW246" t="str">
        <f>IF(AV246=1,SUM($AV$5:AV246),"")</f>
        <v/>
      </c>
      <c r="AX246" t="str">
        <f>IF(AV246=1,SUMIFS($R$5:$R$504,$D$5:$D$504,D246,$AU$5:$AU$504,1),"")</f>
        <v/>
      </c>
    </row>
    <row r="247">
      <c r="A247" s="20" t="str">
        <f>IF(AG247=1,ROW()-4,"")</f>
        <v/>
      </c>
      <c r="B247" s="21" t="n"/>
      <c r="C247" s="22" t="n"/>
      <c r="D247" s="21" t="n"/>
      <c r="E247" s="22" t="n"/>
      <c r="F247" s="23" t="n"/>
      <c r="G247" s="23" t="n"/>
      <c r="H247" s="23" t="n"/>
      <c r="I247" s="24" t="n"/>
      <c r="J247" s="25" t="n"/>
      <c r="K247" s="25" t="n"/>
      <c r="L247" s="25" t="n"/>
      <c r="M247" s="25" t="n"/>
      <c r="N247" s="26" t="n"/>
      <c r="O247" s="26" t="n"/>
      <c r="P247" s="27" t="str">
        <f>IF(OR(J247="",K247="",I247="",AF247=0,AD247=""),"",(K247-J247)*AF247*I247*AD247*AE247)</f>
        <v/>
      </c>
      <c r="Q247" s="26" t="n"/>
      <c r="R247" s="28" t="str">
        <f>IF(Q247&lt;&gt;"",Q247,IF(P247="","",P247-N(N247)+N(O247)))</f>
        <v/>
      </c>
      <c r="S247" s="27" t="str">
        <f>IF(OR(L247="",J247="",I247="",AD247=""),"",ABS(J247-L247)*I247*AD247*AE247)</f>
        <v/>
      </c>
      <c r="T247" s="29" t="str">
        <f>IF(OR(R247="",S247="",S247=0),"",R247/S247)</f>
        <v/>
      </c>
      <c r="U247" s="20" t="str">
        <f>IF(R247="","",IF(R247&gt;0,"Ganadora",IF(R247&lt;0,"Perdedora","BE")))</f>
        <v/>
      </c>
      <c r="V247" s="23" t="n"/>
      <c r="W247" s="23" t="n"/>
      <c r="X247" s="23" t="n"/>
      <c r="Y247" s="23" t="n"/>
      <c r="Z247" s="23" t="n"/>
      <c r="AA247" s="23" t="n"/>
      <c r="AB247" s="30" t="n"/>
      <c r="AC247" s="1" t="n"/>
      <c r="AD247" s="1" t="str">
        <f>IF(G247="","",IFERROR(INDEX('Listas'!$N$6:$N$35,MATCH(G247,'Listas'!$M$6:$M$35,0)),""))</f>
        <v/>
      </c>
      <c r="AE247">
        <f>IF(G247="",1,IFERROR(INDEX('Listas'!$P$6:$P$35,MATCH(G247,'Listas'!$M$6:$M$35,0)),1))</f>
        <v>1</v>
      </c>
      <c r="AF247">
        <f>IF(H247="Compra",1,IF(H247="Venta",-1,0))</f>
        <v>0</v>
      </c>
      <c r="AG247">
        <f>IF(AND(D247&lt;&gt;"",ISNUMBER(R247)),1,0)</f>
        <v>0</v>
      </c>
      <c r="AH247">
        <f>IF(AG247=0,0,IF(OR('Panel'!$D$5="Todas las cuentas",'Panel'!$D$5="",F247='Panel'!$D$5),1,0))</f>
        <v>0</v>
      </c>
      <c r="AI247">
        <f>IF(AH247=0,0,IF(AND(OR('Panel'!$G$5="",D247&gt;='Panel'!$G$5),OR('Panel'!$J$5="",D247&lt;='Panel'!$J$5)),1,0))</f>
        <v>0</v>
      </c>
      <c r="AJ247">
        <f>IF(AI247=1,R247,0)</f>
        <v>0</v>
      </c>
      <c r="AK247" t="str">
        <f>IF(AI247=1,'Panel'!$AB$4+SUM($AJ$5:AJ247),"")</f>
        <v/>
      </c>
      <c r="AL247">
        <f>IF(AI247=0,N(AL246),IF(R247&lt;0,N(AL246)+1,0))</f>
        <v>1</v>
      </c>
      <c r="AM247">
        <f>IF(AI247=0,N(AM246),IF(R247&gt;0,N(AM246)+1,0))</f>
        <v>0</v>
      </c>
      <c r="AN247">
        <f>IF(AI247=1,MAX('Panel'!$AB$4,N(AN246),AK247),N(AN246))</f>
        <v>21371.061500000033</v>
      </c>
      <c r="AO247">
        <f>IF(AI247=1,AN247-AK247,0)</f>
        <v>0</v>
      </c>
      <c r="AP247">
        <f>IF(AND(AI247=1,AN247&gt;0),AO247/AN247,0)</f>
        <v>0</v>
      </c>
      <c r="AQ247" t="str">
        <f>IF(AI247=1,SUM($AI$5:AI247),"")</f>
        <v/>
      </c>
      <c r="AR247" t="str">
        <f>IF(AI247=1,IF(COUNTIFS($D$5:D247,D247,$AI$5:AI247,1)=1,SUMIFS($AJ$5:$AJ$504,$D$5:$D$504,D247),""),"")</f>
        <v/>
      </c>
      <c r="AS247" t="str">
        <f>IF(AG247=1,WEEKDAY(D247,2),"")</f>
        <v/>
      </c>
      <c r="AT247" s="31" t="str">
        <f>IF(AG247=1,DATE(YEAR(D247),MONTH(D247),1),"")</f>
        <v/>
      </c>
      <c r="AU247">
        <f>IF(AG247=0,0,IF(AND(OR('Prop challenge'!$D$7="",F247='Prop challenge'!$D$7),OR('Prop challenge'!$D$9="",D247&gt;='Prop challenge'!$D$9)),1,0))</f>
        <v>0</v>
      </c>
      <c r="AV247">
        <f>IF(AU247=1,IF(COUNTIFS($D$5:D247,D247,$AU$5:AU247,1)=1,1,0),0)</f>
        <v>0</v>
      </c>
      <c r="AW247" t="str">
        <f>IF(AV247=1,SUM($AV$5:AV247),"")</f>
        <v/>
      </c>
      <c r="AX247" t="str">
        <f>IF(AV247=1,SUMIFS($R$5:$R$504,$D$5:$D$504,D247,$AU$5:$AU$504,1),"")</f>
        <v/>
      </c>
    </row>
    <row r="248">
      <c r="A248" s="20" t="str">
        <f>IF(AG248=1,ROW()-4,"")</f>
        <v/>
      </c>
      <c r="B248" s="21" t="n"/>
      <c r="C248" s="22" t="n"/>
      <c r="D248" s="21" t="n"/>
      <c r="E248" s="22" t="n"/>
      <c r="F248" s="23" t="n"/>
      <c r="G248" s="23" t="n"/>
      <c r="H248" s="23" t="n"/>
      <c r="I248" s="24" t="n"/>
      <c r="J248" s="25" t="n"/>
      <c r="K248" s="25" t="n"/>
      <c r="L248" s="25" t="n"/>
      <c r="M248" s="25" t="n"/>
      <c r="N248" s="26" t="n"/>
      <c r="O248" s="26" t="n"/>
      <c r="P248" s="27" t="str">
        <f>IF(OR(J248="",K248="",I248="",AF248=0,AD248=""),"",(K248-J248)*AF248*I248*AD248*AE248)</f>
        <v/>
      </c>
      <c r="Q248" s="26" t="n"/>
      <c r="R248" s="28" t="str">
        <f>IF(Q248&lt;&gt;"",Q248,IF(P248="","",P248-N(N248)+N(O248)))</f>
        <v/>
      </c>
      <c r="S248" s="27" t="str">
        <f>IF(OR(L248="",J248="",I248="",AD248=""),"",ABS(J248-L248)*I248*AD248*AE248)</f>
        <v/>
      </c>
      <c r="T248" s="29" t="str">
        <f>IF(OR(R248="",S248="",S248=0),"",R248/S248)</f>
        <v/>
      </c>
      <c r="U248" s="20" t="str">
        <f>IF(R248="","",IF(R248&gt;0,"Ganadora",IF(R248&lt;0,"Perdedora","BE")))</f>
        <v/>
      </c>
      <c r="V248" s="23" t="n"/>
      <c r="W248" s="23" t="n"/>
      <c r="X248" s="23" t="n"/>
      <c r="Y248" s="23" t="n"/>
      <c r="Z248" s="23" t="n"/>
      <c r="AA248" s="23" t="n"/>
      <c r="AB248" s="30" t="n"/>
      <c r="AC248" s="1" t="n"/>
      <c r="AD248" s="1" t="str">
        <f>IF(G248="","",IFERROR(INDEX('Listas'!$N$6:$N$35,MATCH(G248,'Listas'!$M$6:$M$35,0)),""))</f>
        <v/>
      </c>
      <c r="AE248">
        <f>IF(G248="",1,IFERROR(INDEX('Listas'!$P$6:$P$35,MATCH(G248,'Listas'!$M$6:$M$35,0)),1))</f>
        <v>1</v>
      </c>
      <c r="AF248">
        <f>IF(H248="Compra",1,IF(H248="Venta",-1,0))</f>
        <v>0</v>
      </c>
      <c r="AG248">
        <f>IF(AND(D248&lt;&gt;"",ISNUMBER(R248)),1,0)</f>
        <v>0</v>
      </c>
      <c r="AH248">
        <f>IF(AG248=0,0,IF(OR('Panel'!$D$5="Todas las cuentas",'Panel'!$D$5="",F248='Panel'!$D$5),1,0))</f>
        <v>0</v>
      </c>
      <c r="AI248">
        <f>IF(AH248=0,0,IF(AND(OR('Panel'!$G$5="",D248&gt;='Panel'!$G$5),OR('Panel'!$J$5="",D248&lt;='Panel'!$J$5)),1,0))</f>
        <v>0</v>
      </c>
      <c r="AJ248">
        <f>IF(AI248=1,R248,0)</f>
        <v>0</v>
      </c>
      <c r="AK248" t="str">
        <f>IF(AI248=1,'Panel'!$AB$4+SUM($AJ$5:AJ248),"")</f>
        <v/>
      </c>
      <c r="AL248">
        <f>IF(AI248=0,N(AL247),IF(R248&lt;0,N(AL247)+1,0))</f>
        <v>1</v>
      </c>
      <c r="AM248">
        <f>IF(AI248=0,N(AM247),IF(R248&gt;0,N(AM247)+1,0))</f>
        <v>0</v>
      </c>
      <c r="AN248">
        <f>IF(AI248=1,MAX('Panel'!$AB$4,N(AN247),AK248),N(AN247))</f>
        <v>21371.061500000033</v>
      </c>
      <c r="AO248">
        <f>IF(AI248=1,AN248-AK248,0)</f>
        <v>0</v>
      </c>
      <c r="AP248">
        <f>IF(AND(AI248=1,AN248&gt;0),AO248/AN248,0)</f>
        <v>0</v>
      </c>
      <c r="AQ248" t="str">
        <f>IF(AI248=1,SUM($AI$5:AI248),"")</f>
        <v/>
      </c>
      <c r="AR248" t="str">
        <f>IF(AI248=1,IF(COUNTIFS($D$5:D248,D248,$AI$5:AI248,1)=1,SUMIFS($AJ$5:$AJ$504,$D$5:$D$504,D248),""),"")</f>
        <v/>
      </c>
      <c r="AS248" t="str">
        <f>IF(AG248=1,WEEKDAY(D248,2),"")</f>
        <v/>
      </c>
      <c r="AT248" s="31" t="str">
        <f>IF(AG248=1,DATE(YEAR(D248),MONTH(D248),1),"")</f>
        <v/>
      </c>
      <c r="AU248">
        <f>IF(AG248=0,0,IF(AND(OR('Prop challenge'!$D$7="",F248='Prop challenge'!$D$7),OR('Prop challenge'!$D$9="",D248&gt;='Prop challenge'!$D$9)),1,0))</f>
        <v>0</v>
      </c>
      <c r="AV248">
        <f>IF(AU248=1,IF(COUNTIFS($D$5:D248,D248,$AU$5:AU248,1)=1,1,0),0)</f>
        <v>0</v>
      </c>
      <c r="AW248" t="str">
        <f>IF(AV248=1,SUM($AV$5:AV248),"")</f>
        <v/>
      </c>
      <c r="AX248" t="str">
        <f>IF(AV248=1,SUMIFS($R$5:$R$504,$D$5:$D$504,D248,$AU$5:$AU$504,1),"")</f>
        <v/>
      </c>
    </row>
    <row r="249">
      <c r="A249" s="20" t="str">
        <f>IF(AG249=1,ROW()-4,"")</f>
        <v/>
      </c>
      <c r="B249" s="21" t="n"/>
      <c r="C249" s="22" t="n"/>
      <c r="D249" s="21" t="n"/>
      <c r="E249" s="22" t="n"/>
      <c r="F249" s="23" t="n"/>
      <c r="G249" s="23" t="n"/>
      <c r="H249" s="23" t="n"/>
      <c r="I249" s="24" t="n"/>
      <c r="J249" s="25" t="n"/>
      <c r="K249" s="25" t="n"/>
      <c r="L249" s="25" t="n"/>
      <c r="M249" s="25" t="n"/>
      <c r="N249" s="26" t="n"/>
      <c r="O249" s="26" t="n"/>
      <c r="P249" s="27" t="str">
        <f>IF(OR(J249="",K249="",I249="",AF249=0,AD249=""),"",(K249-J249)*AF249*I249*AD249*AE249)</f>
        <v/>
      </c>
      <c r="Q249" s="26" t="n"/>
      <c r="R249" s="28" t="str">
        <f>IF(Q249&lt;&gt;"",Q249,IF(P249="","",P249-N(N249)+N(O249)))</f>
        <v/>
      </c>
      <c r="S249" s="27" t="str">
        <f>IF(OR(L249="",J249="",I249="",AD249=""),"",ABS(J249-L249)*I249*AD249*AE249)</f>
        <v/>
      </c>
      <c r="T249" s="29" t="str">
        <f>IF(OR(R249="",S249="",S249=0),"",R249/S249)</f>
        <v/>
      </c>
      <c r="U249" s="20" t="str">
        <f>IF(R249="","",IF(R249&gt;0,"Ganadora",IF(R249&lt;0,"Perdedora","BE")))</f>
        <v/>
      </c>
      <c r="V249" s="23" t="n"/>
      <c r="W249" s="23" t="n"/>
      <c r="X249" s="23" t="n"/>
      <c r="Y249" s="23" t="n"/>
      <c r="Z249" s="23" t="n"/>
      <c r="AA249" s="23" t="n"/>
      <c r="AB249" s="30" t="n"/>
      <c r="AC249" s="1" t="n"/>
      <c r="AD249" s="1" t="str">
        <f>IF(G249="","",IFERROR(INDEX('Listas'!$N$6:$N$35,MATCH(G249,'Listas'!$M$6:$M$35,0)),""))</f>
        <v/>
      </c>
      <c r="AE249">
        <f>IF(G249="",1,IFERROR(INDEX('Listas'!$P$6:$P$35,MATCH(G249,'Listas'!$M$6:$M$35,0)),1))</f>
        <v>1</v>
      </c>
      <c r="AF249">
        <f>IF(H249="Compra",1,IF(H249="Venta",-1,0))</f>
        <v>0</v>
      </c>
      <c r="AG249">
        <f>IF(AND(D249&lt;&gt;"",ISNUMBER(R249)),1,0)</f>
        <v>0</v>
      </c>
      <c r="AH249">
        <f>IF(AG249=0,0,IF(OR('Panel'!$D$5="Todas las cuentas",'Panel'!$D$5="",F249='Panel'!$D$5),1,0))</f>
        <v>0</v>
      </c>
      <c r="AI249">
        <f>IF(AH249=0,0,IF(AND(OR('Panel'!$G$5="",D249&gt;='Panel'!$G$5),OR('Panel'!$J$5="",D249&lt;='Panel'!$J$5)),1,0))</f>
        <v>0</v>
      </c>
      <c r="AJ249">
        <f>IF(AI249=1,R249,0)</f>
        <v>0</v>
      </c>
      <c r="AK249" t="str">
        <f>IF(AI249=1,'Panel'!$AB$4+SUM($AJ$5:AJ249),"")</f>
        <v/>
      </c>
      <c r="AL249">
        <f>IF(AI249=0,N(AL248),IF(R249&lt;0,N(AL248)+1,0))</f>
        <v>1</v>
      </c>
      <c r="AM249">
        <f>IF(AI249=0,N(AM248),IF(R249&gt;0,N(AM248)+1,0))</f>
        <v>0</v>
      </c>
      <c r="AN249">
        <f>IF(AI249=1,MAX('Panel'!$AB$4,N(AN248),AK249),N(AN248))</f>
        <v>21371.061500000033</v>
      </c>
      <c r="AO249">
        <f>IF(AI249=1,AN249-AK249,0)</f>
        <v>0</v>
      </c>
      <c r="AP249">
        <f>IF(AND(AI249=1,AN249&gt;0),AO249/AN249,0)</f>
        <v>0</v>
      </c>
      <c r="AQ249" t="str">
        <f>IF(AI249=1,SUM($AI$5:AI249),"")</f>
        <v/>
      </c>
      <c r="AR249" t="str">
        <f>IF(AI249=1,IF(COUNTIFS($D$5:D249,D249,$AI$5:AI249,1)=1,SUMIFS($AJ$5:$AJ$504,$D$5:$D$504,D249),""),"")</f>
        <v/>
      </c>
      <c r="AS249" t="str">
        <f>IF(AG249=1,WEEKDAY(D249,2),"")</f>
        <v/>
      </c>
      <c r="AT249" s="31" t="str">
        <f>IF(AG249=1,DATE(YEAR(D249),MONTH(D249),1),"")</f>
        <v/>
      </c>
      <c r="AU249">
        <f>IF(AG249=0,0,IF(AND(OR('Prop challenge'!$D$7="",F249='Prop challenge'!$D$7),OR('Prop challenge'!$D$9="",D249&gt;='Prop challenge'!$D$9)),1,0))</f>
        <v>0</v>
      </c>
      <c r="AV249">
        <f>IF(AU249=1,IF(COUNTIFS($D$5:D249,D249,$AU$5:AU249,1)=1,1,0),0)</f>
        <v>0</v>
      </c>
      <c r="AW249" t="str">
        <f>IF(AV249=1,SUM($AV$5:AV249),"")</f>
        <v/>
      </c>
      <c r="AX249" t="str">
        <f>IF(AV249=1,SUMIFS($R$5:$R$504,$D$5:$D$504,D249,$AU$5:$AU$504,1),"")</f>
        <v/>
      </c>
    </row>
    <row r="250">
      <c r="A250" s="20" t="str">
        <f>IF(AG250=1,ROW()-4,"")</f>
        <v/>
      </c>
      <c r="B250" s="21" t="n"/>
      <c r="C250" s="22" t="n"/>
      <c r="D250" s="21" t="n"/>
      <c r="E250" s="22" t="n"/>
      <c r="F250" s="23" t="n"/>
      <c r="G250" s="23" t="n"/>
      <c r="H250" s="23" t="n"/>
      <c r="I250" s="24" t="n"/>
      <c r="J250" s="25" t="n"/>
      <c r="K250" s="25" t="n"/>
      <c r="L250" s="25" t="n"/>
      <c r="M250" s="25" t="n"/>
      <c r="N250" s="26" t="n"/>
      <c r="O250" s="26" t="n"/>
      <c r="P250" s="27" t="str">
        <f>IF(OR(J250="",K250="",I250="",AF250=0,AD250=""),"",(K250-J250)*AF250*I250*AD250*AE250)</f>
        <v/>
      </c>
      <c r="Q250" s="26" t="n"/>
      <c r="R250" s="28" t="str">
        <f>IF(Q250&lt;&gt;"",Q250,IF(P250="","",P250-N(N250)+N(O250)))</f>
        <v/>
      </c>
      <c r="S250" s="27" t="str">
        <f>IF(OR(L250="",J250="",I250="",AD250=""),"",ABS(J250-L250)*I250*AD250*AE250)</f>
        <v/>
      </c>
      <c r="T250" s="29" t="str">
        <f>IF(OR(R250="",S250="",S250=0),"",R250/S250)</f>
        <v/>
      </c>
      <c r="U250" s="20" t="str">
        <f>IF(R250="","",IF(R250&gt;0,"Ganadora",IF(R250&lt;0,"Perdedora","BE")))</f>
        <v/>
      </c>
      <c r="V250" s="23" t="n"/>
      <c r="W250" s="23" t="n"/>
      <c r="X250" s="23" t="n"/>
      <c r="Y250" s="23" t="n"/>
      <c r="Z250" s="23" t="n"/>
      <c r="AA250" s="23" t="n"/>
      <c r="AB250" s="30" t="n"/>
      <c r="AC250" s="1" t="n"/>
      <c r="AD250" s="1" t="str">
        <f>IF(G250="","",IFERROR(INDEX('Listas'!$N$6:$N$35,MATCH(G250,'Listas'!$M$6:$M$35,0)),""))</f>
        <v/>
      </c>
      <c r="AE250">
        <f>IF(G250="",1,IFERROR(INDEX('Listas'!$P$6:$P$35,MATCH(G250,'Listas'!$M$6:$M$35,0)),1))</f>
        <v>1</v>
      </c>
      <c r="AF250">
        <f>IF(H250="Compra",1,IF(H250="Venta",-1,0))</f>
        <v>0</v>
      </c>
      <c r="AG250">
        <f>IF(AND(D250&lt;&gt;"",ISNUMBER(R250)),1,0)</f>
        <v>0</v>
      </c>
      <c r="AH250">
        <f>IF(AG250=0,0,IF(OR('Panel'!$D$5="Todas las cuentas",'Panel'!$D$5="",F250='Panel'!$D$5),1,0))</f>
        <v>0</v>
      </c>
      <c r="AI250">
        <f>IF(AH250=0,0,IF(AND(OR('Panel'!$G$5="",D250&gt;='Panel'!$G$5),OR('Panel'!$J$5="",D250&lt;='Panel'!$J$5)),1,0))</f>
        <v>0</v>
      </c>
      <c r="AJ250">
        <f>IF(AI250=1,R250,0)</f>
        <v>0</v>
      </c>
      <c r="AK250" t="str">
        <f>IF(AI250=1,'Panel'!$AB$4+SUM($AJ$5:AJ250),"")</f>
        <v/>
      </c>
      <c r="AL250">
        <f>IF(AI250=0,N(AL249),IF(R250&lt;0,N(AL249)+1,0))</f>
        <v>1</v>
      </c>
      <c r="AM250">
        <f>IF(AI250=0,N(AM249),IF(R250&gt;0,N(AM249)+1,0))</f>
        <v>0</v>
      </c>
      <c r="AN250">
        <f>IF(AI250=1,MAX('Panel'!$AB$4,N(AN249),AK250),N(AN249))</f>
        <v>21371.061500000033</v>
      </c>
      <c r="AO250">
        <f>IF(AI250=1,AN250-AK250,0)</f>
        <v>0</v>
      </c>
      <c r="AP250">
        <f>IF(AND(AI250=1,AN250&gt;0),AO250/AN250,0)</f>
        <v>0</v>
      </c>
      <c r="AQ250" t="str">
        <f>IF(AI250=1,SUM($AI$5:AI250),"")</f>
        <v/>
      </c>
      <c r="AR250" t="str">
        <f>IF(AI250=1,IF(COUNTIFS($D$5:D250,D250,$AI$5:AI250,1)=1,SUMIFS($AJ$5:$AJ$504,$D$5:$D$504,D250),""),"")</f>
        <v/>
      </c>
      <c r="AS250" t="str">
        <f>IF(AG250=1,WEEKDAY(D250,2),"")</f>
        <v/>
      </c>
      <c r="AT250" s="31" t="str">
        <f>IF(AG250=1,DATE(YEAR(D250),MONTH(D250),1),"")</f>
        <v/>
      </c>
      <c r="AU250">
        <f>IF(AG250=0,0,IF(AND(OR('Prop challenge'!$D$7="",F250='Prop challenge'!$D$7),OR('Prop challenge'!$D$9="",D250&gt;='Prop challenge'!$D$9)),1,0))</f>
        <v>0</v>
      </c>
      <c r="AV250">
        <f>IF(AU250=1,IF(COUNTIFS($D$5:D250,D250,$AU$5:AU250,1)=1,1,0),0)</f>
        <v>0</v>
      </c>
      <c r="AW250" t="str">
        <f>IF(AV250=1,SUM($AV$5:AV250),"")</f>
        <v/>
      </c>
      <c r="AX250" t="str">
        <f>IF(AV250=1,SUMIFS($R$5:$R$504,$D$5:$D$504,D250,$AU$5:$AU$504,1),"")</f>
        <v/>
      </c>
    </row>
    <row r="251">
      <c r="A251" s="20" t="str">
        <f>IF(AG251=1,ROW()-4,"")</f>
        <v/>
      </c>
      <c r="B251" s="21" t="n"/>
      <c r="C251" s="22" t="n"/>
      <c r="D251" s="21" t="n"/>
      <c r="E251" s="22" t="n"/>
      <c r="F251" s="23" t="n"/>
      <c r="G251" s="23" t="n"/>
      <c r="H251" s="23" t="n"/>
      <c r="I251" s="24" t="n"/>
      <c r="J251" s="25" t="n"/>
      <c r="K251" s="25" t="n"/>
      <c r="L251" s="25" t="n"/>
      <c r="M251" s="25" t="n"/>
      <c r="N251" s="26" t="n"/>
      <c r="O251" s="26" t="n"/>
      <c r="P251" s="27" t="str">
        <f>IF(OR(J251="",K251="",I251="",AF251=0,AD251=""),"",(K251-J251)*AF251*I251*AD251*AE251)</f>
        <v/>
      </c>
      <c r="Q251" s="26" t="n"/>
      <c r="R251" s="28" t="str">
        <f>IF(Q251&lt;&gt;"",Q251,IF(P251="","",P251-N(N251)+N(O251)))</f>
        <v/>
      </c>
      <c r="S251" s="27" t="str">
        <f>IF(OR(L251="",J251="",I251="",AD251=""),"",ABS(J251-L251)*I251*AD251*AE251)</f>
        <v/>
      </c>
      <c r="T251" s="29" t="str">
        <f>IF(OR(R251="",S251="",S251=0),"",R251/S251)</f>
        <v/>
      </c>
      <c r="U251" s="20" t="str">
        <f>IF(R251="","",IF(R251&gt;0,"Ganadora",IF(R251&lt;0,"Perdedora","BE")))</f>
        <v/>
      </c>
      <c r="V251" s="23" t="n"/>
      <c r="W251" s="23" t="n"/>
      <c r="X251" s="23" t="n"/>
      <c r="Y251" s="23" t="n"/>
      <c r="Z251" s="23" t="n"/>
      <c r="AA251" s="23" t="n"/>
      <c r="AB251" s="30" t="n"/>
      <c r="AC251" s="1" t="n"/>
      <c r="AD251" s="1" t="str">
        <f>IF(G251="","",IFERROR(INDEX('Listas'!$N$6:$N$35,MATCH(G251,'Listas'!$M$6:$M$35,0)),""))</f>
        <v/>
      </c>
      <c r="AE251">
        <f>IF(G251="",1,IFERROR(INDEX('Listas'!$P$6:$P$35,MATCH(G251,'Listas'!$M$6:$M$35,0)),1))</f>
        <v>1</v>
      </c>
      <c r="AF251">
        <f>IF(H251="Compra",1,IF(H251="Venta",-1,0))</f>
        <v>0</v>
      </c>
      <c r="AG251">
        <f>IF(AND(D251&lt;&gt;"",ISNUMBER(R251)),1,0)</f>
        <v>0</v>
      </c>
      <c r="AH251">
        <f>IF(AG251=0,0,IF(OR('Panel'!$D$5="Todas las cuentas",'Panel'!$D$5="",F251='Panel'!$D$5),1,0))</f>
        <v>0</v>
      </c>
      <c r="AI251">
        <f>IF(AH251=0,0,IF(AND(OR('Panel'!$G$5="",D251&gt;='Panel'!$G$5),OR('Panel'!$J$5="",D251&lt;='Panel'!$J$5)),1,0))</f>
        <v>0</v>
      </c>
      <c r="AJ251">
        <f>IF(AI251=1,R251,0)</f>
        <v>0</v>
      </c>
      <c r="AK251" t="str">
        <f>IF(AI251=1,'Panel'!$AB$4+SUM($AJ$5:AJ251),"")</f>
        <v/>
      </c>
      <c r="AL251">
        <f>IF(AI251=0,N(AL250),IF(R251&lt;0,N(AL250)+1,0))</f>
        <v>1</v>
      </c>
      <c r="AM251">
        <f>IF(AI251=0,N(AM250),IF(R251&gt;0,N(AM250)+1,0))</f>
        <v>0</v>
      </c>
      <c r="AN251">
        <f>IF(AI251=1,MAX('Panel'!$AB$4,N(AN250),AK251),N(AN250))</f>
        <v>21371.061500000033</v>
      </c>
      <c r="AO251">
        <f>IF(AI251=1,AN251-AK251,0)</f>
        <v>0</v>
      </c>
      <c r="AP251">
        <f>IF(AND(AI251=1,AN251&gt;0),AO251/AN251,0)</f>
        <v>0</v>
      </c>
      <c r="AQ251" t="str">
        <f>IF(AI251=1,SUM($AI$5:AI251),"")</f>
        <v/>
      </c>
      <c r="AR251" t="str">
        <f>IF(AI251=1,IF(COUNTIFS($D$5:D251,D251,$AI$5:AI251,1)=1,SUMIFS($AJ$5:$AJ$504,$D$5:$D$504,D251),""),"")</f>
        <v/>
      </c>
      <c r="AS251" t="str">
        <f>IF(AG251=1,WEEKDAY(D251,2),"")</f>
        <v/>
      </c>
      <c r="AT251" s="31" t="str">
        <f>IF(AG251=1,DATE(YEAR(D251),MONTH(D251),1),"")</f>
        <v/>
      </c>
      <c r="AU251">
        <f>IF(AG251=0,0,IF(AND(OR('Prop challenge'!$D$7="",F251='Prop challenge'!$D$7),OR('Prop challenge'!$D$9="",D251&gt;='Prop challenge'!$D$9)),1,0))</f>
        <v>0</v>
      </c>
      <c r="AV251">
        <f>IF(AU251=1,IF(COUNTIFS($D$5:D251,D251,$AU$5:AU251,1)=1,1,0),0)</f>
        <v>0</v>
      </c>
      <c r="AW251" t="str">
        <f>IF(AV251=1,SUM($AV$5:AV251),"")</f>
        <v/>
      </c>
      <c r="AX251" t="str">
        <f>IF(AV251=1,SUMIFS($R$5:$R$504,$D$5:$D$504,D251,$AU$5:$AU$504,1),"")</f>
        <v/>
      </c>
    </row>
    <row r="252">
      <c r="A252" s="20" t="str">
        <f>IF(AG252=1,ROW()-4,"")</f>
        <v/>
      </c>
      <c r="B252" s="21" t="n"/>
      <c r="C252" s="22" t="n"/>
      <c r="D252" s="21" t="n"/>
      <c r="E252" s="22" t="n"/>
      <c r="F252" s="23" t="n"/>
      <c r="G252" s="23" t="n"/>
      <c r="H252" s="23" t="n"/>
      <c r="I252" s="24" t="n"/>
      <c r="J252" s="25" t="n"/>
      <c r="K252" s="25" t="n"/>
      <c r="L252" s="25" t="n"/>
      <c r="M252" s="25" t="n"/>
      <c r="N252" s="26" t="n"/>
      <c r="O252" s="26" t="n"/>
      <c r="P252" s="27" t="str">
        <f>IF(OR(J252="",K252="",I252="",AF252=0,AD252=""),"",(K252-J252)*AF252*I252*AD252*AE252)</f>
        <v/>
      </c>
      <c r="Q252" s="26" t="n"/>
      <c r="R252" s="28" t="str">
        <f>IF(Q252&lt;&gt;"",Q252,IF(P252="","",P252-N(N252)+N(O252)))</f>
        <v/>
      </c>
      <c r="S252" s="27" t="str">
        <f>IF(OR(L252="",J252="",I252="",AD252=""),"",ABS(J252-L252)*I252*AD252*AE252)</f>
        <v/>
      </c>
      <c r="T252" s="29" t="str">
        <f>IF(OR(R252="",S252="",S252=0),"",R252/S252)</f>
        <v/>
      </c>
      <c r="U252" s="20" t="str">
        <f>IF(R252="","",IF(R252&gt;0,"Ganadora",IF(R252&lt;0,"Perdedora","BE")))</f>
        <v/>
      </c>
      <c r="V252" s="23" t="n"/>
      <c r="W252" s="23" t="n"/>
      <c r="X252" s="23" t="n"/>
      <c r="Y252" s="23" t="n"/>
      <c r="Z252" s="23" t="n"/>
      <c r="AA252" s="23" t="n"/>
      <c r="AB252" s="30" t="n"/>
      <c r="AC252" s="1" t="n"/>
      <c r="AD252" s="1" t="str">
        <f>IF(G252="","",IFERROR(INDEX('Listas'!$N$6:$N$35,MATCH(G252,'Listas'!$M$6:$M$35,0)),""))</f>
        <v/>
      </c>
      <c r="AE252">
        <f>IF(G252="",1,IFERROR(INDEX('Listas'!$P$6:$P$35,MATCH(G252,'Listas'!$M$6:$M$35,0)),1))</f>
        <v>1</v>
      </c>
      <c r="AF252">
        <f>IF(H252="Compra",1,IF(H252="Venta",-1,0))</f>
        <v>0</v>
      </c>
      <c r="AG252">
        <f>IF(AND(D252&lt;&gt;"",ISNUMBER(R252)),1,0)</f>
        <v>0</v>
      </c>
      <c r="AH252">
        <f>IF(AG252=0,0,IF(OR('Panel'!$D$5="Todas las cuentas",'Panel'!$D$5="",F252='Panel'!$D$5),1,0))</f>
        <v>0</v>
      </c>
      <c r="AI252">
        <f>IF(AH252=0,0,IF(AND(OR('Panel'!$G$5="",D252&gt;='Panel'!$G$5),OR('Panel'!$J$5="",D252&lt;='Panel'!$J$5)),1,0))</f>
        <v>0</v>
      </c>
      <c r="AJ252">
        <f>IF(AI252=1,R252,0)</f>
        <v>0</v>
      </c>
      <c r="AK252" t="str">
        <f>IF(AI252=1,'Panel'!$AB$4+SUM($AJ$5:AJ252),"")</f>
        <v/>
      </c>
      <c r="AL252">
        <f>IF(AI252=0,N(AL251),IF(R252&lt;0,N(AL251)+1,0))</f>
        <v>1</v>
      </c>
      <c r="AM252">
        <f>IF(AI252=0,N(AM251),IF(R252&gt;0,N(AM251)+1,0))</f>
        <v>0</v>
      </c>
      <c r="AN252">
        <f>IF(AI252=1,MAX('Panel'!$AB$4,N(AN251),AK252),N(AN251))</f>
        <v>21371.061500000033</v>
      </c>
      <c r="AO252">
        <f>IF(AI252=1,AN252-AK252,0)</f>
        <v>0</v>
      </c>
      <c r="AP252">
        <f>IF(AND(AI252=1,AN252&gt;0),AO252/AN252,0)</f>
        <v>0</v>
      </c>
      <c r="AQ252" t="str">
        <f>IF(AI252=1,SUM($AI$5:AI252),"")</f>
        <v/>
      </c>
      <c r="AR252" t="str">
        <f>IF(AI252=1,IF(COUNTIFS($D$5:D252,D252,$AI$5:AI252,1)=1,SUMIFS($AJ$5:$AJ$504,$D$5:$D$504,D252),""),"")</f>
        <v/>
      </c>
      <c r="AS252" t="str">
        <f>IF(AG252=1,WEEKDAY(D252,2),"")</f>
        <v/>
      </c>
      <c r="AT252" s="31" t="str">
        <f>IF(AG252=1,DATE(YEAR(D252),MONTH(D252),1),"")</f>
        <v/>
      </c>
      <c r="AU252">
        <f>IF(AG252=0,0,IF(AND(OR('Prop challenge'!$D$7="",F252='Prop challenge'!$D$7),OR('Prop challenge'!$D$9="",D252&gt;='Prop challenge'!$D$9)),1,0))</f>
        <v>0</v>
      </c>
      <c r="AV252">
        <f>IF(AU252=1,IF(COUNTIFS($D$5:D252,D252,$AU$5:AU252,1)=1,1,0),0)</f>
        <v>0</v>
      </c>
      <c r="AW252" t="str">
        <f>IF(AV252=1,SUM($AV$5:AV252),"")</f>
        <v/>
      </c>
      <c r="AX252" t="str">
        <f>IF(AV252=1,SUMIFS($R$5:$R$504,$D$5:$D$504,D252,$AU$5:$AU$504,1),"")</f>
        <v/>
      </c>
    </row>
    <row r="253">
      <c r="A253" s="20" t="str">
        <f>IF(AG253=1,ROW()-4,"")</f>
        <v/>
      </c>
      <c r="B253" s="21" t="n"/>
      <c r="C253" s="22" t="n"/>
      <c r="D253" s="21" t="n"/>
      <c r="E253" s="22" t="n"/>
      <c r="F253" s="23" t="n"/>
      <c r="G253" s="23" t="n"/>
      <c r="H253" s="23" t="n"/>
      <c r="I253" s="24" t="n"/>
      <c r="J253" s="25" t="n"/>
      <c r="K253" s="25" t="n"/>
      <c r="L253" s="25" t="n"/>
      <c r="M253" s="25" t="n"/>
      <c r="N253" s="26" t="n"/>
      <c r="O253" s="26" t="n"/>
      <c r="P253" s="27" t="str">
        <f>IF(OR(J253="",K253="",I253="",AF253=0,AD253=""),"",(K253-J253)*AF253*I253*AD253*AE253)</f>
        <v/>
      </c>
      <c r="Q253" s="26" t="n"/>
      <c r="R253" s="28" t="str">
        <f>IF(Q253&lt;&gt;"",Q253,IF(P253="","",P253-N(N253)+N(O253)))</f>
        <v/>
      </c>
      <c r="S253" s="27" t="str">
        <f>IF(OR(L253="",J253="",I253="",AD253=""),"",ABS(J253-L253)*I253*AD253*AE253)</f>
        <v/>
      </c>
      <c r="T253" s="29" t="str">
        <f>IF(OR(R253="",S253="",S253=0),"",R253/S253)</f>
        <v/>
      </c>
      <c r="U253" s="20" t="str">
        <f>IF(R253="","",IF(R253&gt;0,"Ganadora",IF(R253&lt;0,"Perdedora","BE")))</f>
        <v/>
      </c>
      <c r="V253" s="23" t="n"/>
      <c r="W253" s="23" t="n"/>
      <c r="X253" s="23" t="n"/>
      <c r="Y253" s="23" t="n"/>
      <c r="Z253" s="23" t="n"/>
      <c r="AA253" s="23" t="n"/>
      <c r="AB253" s="30" t="n"/>
      <c r="AC253" s="1" t="n"/>
      <c r="AD253" s="1" t="str">
        <f>IF(G253="","",IFERROR(INDEX('Listas'!$N$6:$N$35,MATCH(G253,'Listas'!$M$6:$M$35,0)),""))</f>
        <v/>
      </c>
      <c r="AE253">
        <f>IF(G253="",1,IFERROR(INDEX('Listas'!$P$6:$P$35,MATCH(G253,'Listas'!$M$6:$M$35,0)),1))</f>
        <v>1</v>
      </c>
      <c r="AF253">
        <f>IF(H253="Compra",1,IF(H253="Venta",-1,0))</f>
        <v>0</v>
      </c>
      <c r="AG253">
        <f>IF(AND(D253&lt;&gt;"",ISNUMBER(R253)),1,0)</f>
        <v>0</v>
      </c>
      <c r="AH253">
        <f>IF(AG253=0,0,IF(OR('Panel'!$D$5="Todas las cuentas",'Panel'!$D$5="",F253='Panel'!$D$5),1,0))</f>
        <v>0</v>
      </c>
      <c r="AI253">
        <f>IF(AH253=0,0,IF(AND(OR('Panel'!$G$5="",D253&gt;='Panel'!$G$5),OR('Panel'!$J$5="",D253&lt;='Panel'!$J$5)),1,0))</f>
        <v>0</v>
      </c>
      <c r="AJ253">
        <f>IF(AI253=1,R253,0)</f>
        <v>0</v>
      </c>
      <c r="AK253" t="str">
        <f>IF(AI253=1,'Panel'!$AB$4+SUM($AJ$5:AJ253),"")</f>
        <v/>
      </c>
      <c r="AL253">
        <f>IF(AI253=0,N(AL252),IF(R253&lt;0,N(AL252)+1,0))</f>
        <v>1</v>
      </c>
      <c r="AM253">
        <f>IF(AI253=0,N(AM252),IF(R253&gt;0,N(AM252)+1,0))</f>
        <v>0</v>
      </c>
      <c r="AN253">
        <f>IF(AI253=1,MAX('Panel'!$AB$4,N(AN252),AK253),N(AN252))</f>
        <v>21371.061500000033</v>
      </c>
      <c r="AO253">
        <f>IF(AI253=1,AN253-AK253,0)</f>
        <v>0</v>
      </c>
      <c r="AP253">
        <f>IF(AND(AI253=1,AN253&gt;0),AO253/AN253,0)</f>
        <v>0</v>
      </c>
      <c r="AQ253" t="str">
        <f>IF(AI253=1,SUM($AI$5:AI253),"")</f>
        <v/>
      </c>
      <c r="AR253" t="str">
        <f>IF(AI253=1,IF(COUNTIFS($D$5:D253,D253,$AI$5:AI253,1)=1,SUMIFS($AJ$5:$AJ$504,$D$5:$D$504,D253),""),"")</f>
        <v/>
      </c>
      <c r="AS253" t="str">
        <f>IF(AG253=1,WEEKDAY(D253,2),"")</f>
        <v/>
      </c>
      <c r="AT253" s="31" t="str">
        <f>IF(AG253=1,DATE(YEAR(D253),MONTH(D253),1),"")</f>
        <v/>
      </c>
      <c r="AU253">
        <f>IF(AG253=0,0,IF(AND(OR('Prop challenge'!$D$7="",F253='Prop challenge'!$D$7),OR('Prop challenge'!$D$9="",D253&gt;='Prop challenge'!$D$9)),1,0))</f>
        <v>0</v>
      </c>
      <c r="AV253">
        <f>IF(AU253=1,IF(COUNTIFS($D$5:D253,D253,$AU$5:AU253,1)=1,1,0),0)</f>
        <v>0</v>
      </c>
      <c r="AW253" t="str">
        <f>IF(AV253=1,SUM($AV$5:AV253),"")</f>
        <v/>
      </c>
      <c r="AX253" t="str">
        <f>IF(AV253=1,SUMIFS($R$5:$R$504,$D$5:$D$504,D253,$AU$5:$AU$504,1),"")</f>
        <v/>
      </c>
    </row>
    <row r="254">
      <c r="A254" s="20" t="str">
        <f>IF(AG254=1,ROW()-4,"")</f>
        <v/>
      </c>
      <c r="B254" s="21" t="n"/>
      <c r="C254" s="22" t="n"/>
      <c r="D254" s="21" t="n"/>
      <c r="E254" s="22" t="n"/>
      <c r="F254" s="23" t="n"/>
      <c r="G254" s="23" t="n"/>
      <c r="H254" s="23" t="n"/>
      <c r="I254" s="24" t="n"/>
      <c r="J254" s="25" t="n"/>
      <c r="K254" s="25" t="n"/>
      <c r="L254" s="25" t="n"/>
      <c r="M254" s="25" t="n"/>
      <c r="N254" s="26" t="n"/>
      <c r="O254" s="26" t="n"/>
      <c r="P254" s="27" t="str">
        <f>IF(OR(J254="",K254="",I254="",AF254=0,AD254=""),"",(K254-J254)*AF254*I254*AD254*AE254)</f>
        <v/>
      </c>
      <c r="Q254" s="26" t="n"/>
      <c r="R254" s="28" t="str">
        <f>IF(Q254&lt;&gt;"",Q254,IF(P254="","",P254-N(N254)+N(O254)))</f>
        <v/>
      </c>
      <c r="S254" s="27" t="str">
        <f>IF(OR(L254="",J254="",I254="",AD254=""),"",ABS(J254-L254)*I254*AD254*AE254)</f>
        <v/>
      </c>
      <c r="T254" s="29" t="str">
        <f>IF(OR(R254="",S254="",S254=0),"",R254/S254)</f>
        <v/>
      </c>
      <c r="U254" s="20" t="str">
        <f>IF(R254="","",IF(R254&gt;0,"Ganadora",IF(R254&lt;0,"Perdedora","BE")))</f>
        <v/>
      </c>
      <c r="V254" s="23" t="n"/>
      <c r="W254" s="23" t="n"/>
      <c r="X254" s="23" t="n"/>
      <c r="Y254" s="23" t="n"/>
      <c r="Z254" s="23" t="n"/>
      <c r="AA254" s="23" t="n"/>
      <c r="AB254" s="30" t="n"/>
      <c r="AC254" s="1" t="n"/>
      <c r="AD254" s="1" t="str">
        <f>IF(G254="","",IFERROR(INDEX('Listas'!$N$6:$N$35,MATCH(G254,'Listas'!$M$6:$M$35,0)),""))</f>
        <v/>
      </c>
      <c r="AE254">
        <f>IF(G254="",1,IFERROR(INDEX('Listas'!$P$6:$P$35,MATCH(G254,'Listas'!$M$6:$M$35,0)),1))</f>
        <v>1</v>
      </c>
      <c r="AF254">
        <f>IF(H254="Compra",1,IF(H254="Venta",-1,0))</f>
        <v>0</v>
      </c>
      <c r="AG254">
        <f>IF(AND(D254&lt;&gt;"",ISNUMBER(R254)),1,0)</f>
        <v>0</v>
      </c>
      <c r="AH254">
        <f>IF(AG254=0,0,IF(OR('Panel'!$D$5="Todas las cuentas",'Panel'!$D$5="",F254='Panel'!$D$5),1,0))</f>
        <v>0</v>
      </c>
      <c r="AI254">
        <f>IF(AH254=0,0,IF(AND(OR('Panel'!$G$5="",D254&gt;='Panel'!$G$5),OR('Panel'!$J$5="",D254&lt;='Panel'!$J$5)),1,0))</f>
        <v>0</v>
      </c>
      <c r="AJ254">
        <f>IF(AI254=1,R254,0)</f>
        <v>0</v>
      </c>
      <c r="AK254" t="str">
        <f>IF(AI254=1,'Panel'!$AB$4+SUM($AJ$5:AJ254),"")</f>
        <v/>
      </c>
      <c r="AL254">
        <f>IF(AI254=0,N(AL253),IF(R254&lt;0,N(AL253)+1,0))</f>
        <v>1</v>
      </c>
      <c r="AM254">
        <f>IF(AI254=0,N(AM253),IF(R254&gt;0,N(AM253)+1,0))</f>
        <v>0</v>
      </c>
      <c r="AN254">
        <f>IF(AI254=1,MAX('Panel'!$AB$4,N(AN253),AK254),N(AN253))</f>
        <v>21371.061500000033</v>
      </c>
      <c r="AO254">
        <f>IF(AI254=1,AN254-AK254,0)</f>
        <v>0</v>
      </c>
      <c r="AP254">
        <f>IF(AND(AI254=1,AN254&gt;0),AO254/AN254,0)</f>
        <v>0</v>
      </c>
      <c r="AQ254" t="str">
        <f>IF(AI254=1,SUM($AI$5:AI254),"")</f>
        <v/>
      </c>
      <c r="AR254" t="str">
        <f>IF(AI254=1,IF(COUNTIFS($D$5:D254,D254,$AI$5:AI254,1)=1,SUMIFS($AJ$5:$AJ$504,$D$5:$D$504,D254),""),"")</f>
        <v/>
      </c>
      <c r="AS254" t="str">
        <f>IF(AG254=1,WEEKDAY(D254,2),"")</f>
        <v/>
      </c>
      <c r="AT254" s="31" t="str">
        <f>IF(AG254=1,DATE(YEAR(D254),MONTH(D254),1),"")</f>
        <v/>
      </c>
      <c r="AU254">
        <f>IF(AG254=0,0,IF(AND(OR('Prop challenge'!$D$7="",F254='Prop challenge'!$D$7),OR('Prop challenge'!$D$9="",D254&gt;='Prop challenge'!$D$9)),1,0))</f>
        <v>0</v>
      </c>
      <c r="AV254">
        <f>IF(AU254=1,IF(COUNTIFS($D$5:D254,D254,$AU$5:AU254,1)=1,1,0),0)</f>
        <v>0</v>
      </c>
      <c r="AW254" t="str">
        <f>IF(AV254=1,SUM($AV$5:AV254),"")</f>
        <v/>
      </c>
      <c r="AX254" t="str">
        <f>IF(AV254=1,SUMIFS($R$5:$R$504,$D$5:$D$504,D254,$AU$5:$AU$504,1),"")</f>
        <v/>
      </c>
    </row>
    <row r="255">
      <c r="A255" s="20" t="str">
        <f>IF(AG255=1,ROW()-4,"")</f>
        <v/>
      </c>
      <c r="B255" s="21" t="n"/>
      <c r="C255" s="22" t="n"/>
      <c r="D255" s="21" t="n"/>
      <c r="E255" s="22" t="n"/>
      <c r="F255" s="23" t="n"/>
      <c r="G255" s="23" t="n"/>
      <c r="H255" s="23" t="n"/>
      <c r="I255" s="24" t="n"/>
      <c r="J255" s="25" t="n"/>
      <c r="K255" s="25" t="n"/>
      <c r="L255" s="25" t="n"/>
      <c r="M255" s="25" t="n"/>
      <c r="N255" s="26" t="n"/>
      <c r="O255" s="26" t="n"/>
      <c r="P255" s="27" t="str">
        <f>IF(OR(J255="",K255="",I255="",AF255=0,AD255=""),"",(K255-J255)*AF255*I255*AD255*AE255)</f>
        <v/>
      </c>
      <c r="Q255" s="26" t="n"/>
      <c r="R255" s="28" t="str">
        <f>IF(Q255&lt;&gt;"",Q255,IF(P255="","",P255-N(N255)+N(O255)))</f>
        <v/>
      </c>
      <c r="S255" s="27" t="str">
        <f>IF(OR(L255="",J255="",I255="",AD255=""),"",ABS(J255-L255)*I255*AD255*AE255)</f>
        <v/>
      </c>
      <c r="T255" s="29" t="str">
        <f>IF(OR(R255="",S255="",S255=0),"",R255/S255)</f>
        <v/>
      </c>
      <c r="U255" s="20" t="str">
        <f>IF(R255="","",IF(R255&gt;0,"Ganadora",IF(R255&lt;0,"Perdedora","BE")))</f>
        <v/>
      </c>
      <c r="V255" s="23" t="n"/>
      <c r="W255" s="23" t="n"/>
      <c r="X255" s="23" t="n"/>
      <c r="Y255" s="23" t="n"/>
      <c r="Z255" s="23" t="n"/>
      <c r="AA255" s="23" t="n"/>
      <c r="AB255" s="30" t="n"/>
      <c r="AC255" s="1" t="n"/>
      <c r="AD255" s="1" t="str">
        <f>IF(G255="","",IFERROR(INDEX('Listas'!$N$6:$N$35,MATCH(G255,'Listas'!$M$6:$M$35,0)),""))</f>
        <v/>
      </c>
      <c r="AE255">
        <f>IF(G255="",1,IFERROR(INDEX('Listas'!$P$6:$P$35,MATCH(G255,'Listas'!$M$6:$M$35,0)),1))</f>
        <v>1</v>
      </c>
      <c r="AF255">
        <f>IF(H255="Compra",1,IF(H255="Venta",-1,0))</f>
        <v>0</v>
      </c>
      <c r="AG255">
        <f>IF(AND(D255&lt;&gt;"",ISNUMBER(R255)),1,0)</f>
        <v>0</v>
      </c>
      <c r="AH255">
        <f>IF(AG255=0,0,IF(OR('Panel'!$D$5="Todas las cuentas",'Panel'!$D$5="",F255='Panel'!$D$5),1,0))</f>
        <v>0</v>
      </c>
      <c r="AI255">
        <f>IF(AH255=0,0,IF(AND(OR('Panel'!$G$5="",D255&gt;='Panel'!$G$5),OR('Panel'!$J$5="",D255&lt;='Panel'!$J$5)),1,0))</f>
        <v>0</v>
      </c>
      <c r="AJ255">
        <f>IF(AI255=1,R255,0)</f>
        <v>0</v>
      </c>
      <c r="AK255" t="str">
        <f>IF(AI255=1,'Panel'!$AB$4+SUM($AJ$5:AJ255),"")</f>
        <v/>
      </c>
      <c r="AL255">
        <f>IF(AI255=0,N(AL254),IF(R255&lt;0,N(AL254)+1,0))</f>
        <v>1</v>
      </c>
      <c r="AM255">
        <f>IF(AI255=0,N(AM254),IF(R255&gt;0,N(AM254)+1,0))</f>
        <v>0</v>
      </c>
      <c r="AN255">
        <f>IF(AI255=1,MAX('Panel'!$AB$4,N(AN254),AK255),N(AN254))</f>
        <v>21371.061500000033</v>
      </c>
      <c r="AO255">
        <f>IF(AI255=1,AN255-AK255,0)</f>
        <v>0</v>
      </c>
      <c r="AP255">
        <f>IF(AND(AI255=1,AN255&gt;0),AO255/AN255,0)</f>
        <v>0</v>
      </c>
      <c r="AQ255" t="str">
        <f>IF(AI255=1,SUM($AI$5:AI255),"")</f>
        <v/>
      </c>
      <c r="AR255" t="str">
        <f>IF(AI255=1,IF(COUNTIFS($D$5:D255,D255,$AI$5:AI255,1)=1,SUMIFS($AJ$5:$AJ$504,$D$5:$D$504,D255),""),"")</f>
        <v/>
      </c>
      <c r="AS255" t="str">
        <f>IF(AG255=1,WEEKDAY(D255,2),"")</f>
        <v/>
      </c>
      <c r="AT255" s="31" t="str">
        <f>IF(AG255=1,DATE(YEAR(D255),MONTH(D255),1),"")</f>
        <v/>
      </c>
      <c r="AU255">
        <f>IF(AG255=0,0,IF(AND(OR('Prop challenge'!$D$7="",F255='Prop challenge'!$D$7),OR('Prop challenge'!$D$9="",D255&gt;='Prop challenge'!$D$9)),1,0))</f>
        <v>0</v>
      </c>
      <c r="AV255">
        <f>IF(AU255=1,IF(COUNTIFS($D$5:D255,D255,$AU$5:AU255,1)=1,1,0),0)</f>
        <v>0</v>
      </c>
      <c r="AW255" t="str">
        <f>IF(AV255=1,SUM($AV$5:AV255),"")</f>
        <v/>
      </c>
      <c r="AX255" t="str">
        <f>IF(AV255=1,SUMIFS($R$5:$R$504,$D$5:$D$504,D255,$AU$5:$AU$504,1),"")</f>
        <v/>
      </c>
    </row>
    <row r="256">
      <c r="A256" s="20" t="str">
        <f>IF(AG256=1,ROW()-4,"")</f>
        <v/>
      </c>
      <c r="B256" s="21" t="n"/>
      <c r="C256" s="22" t="n"/>
      <c r="D256" s="21" t="n"/>
      <c r="E256" s="22" t="n"/>
      <c r="F256" s="23" t="n"/>
      <c r="G256" s="23" t="n"/>
      <c r="H256" s="23" t="n"/>
      <c r="I256" s="24" t="n"/>
      <c r="J256" s="25" t="n"/>
      <c r="K256" s="25" t="n"/>
      <c r="L256" s="25" t="n"/>
      <c r="M256" s="25" t="n"/>
      <c r="N256" s="26" t="n"/>
      <c r="O256" s="26" t="n"/>
      <c r="P256" s="27" t="str">
        <f>IF(OR(J256="",K256="",I256="",AF256=0,AD256=""),"",(K256-J256)*AF256*I256*AD256*AE256)</f>
        <v/>
      </c>
      <c r="Q256" s="26" t="n"/>
      <c r="R256" s="28" t="str">
        <f>IF(Q256&lt;&gt;"",Q256,IF(P256="","",P256-N(N256)+N(O256)))</f>
        <v/>
      </c>
      <c r="S256" s="27" t="str">
        <f>IF(OR(L256="",J256="",I256="",AD256=""),"",ABS(J256-L256)*I256*AD256*AE256)</f>
        <v/>
      </c>
      <c r="T256" s="29" t="str">
        <f>IF(OR(R256="",S256="",S256=0),"",R256/S256)</f>
        <v/>
      </c>
      <c r="U256" s="20" t="str">
        <f>IF(R256="","",IF(R256&gt;0,"Ganadora",IF(R256&lt;0,"Perdedora","BE")))</f>
        <v/>
      </c>
      <c r="V256" s="23" t="n"/>
      <c r="W256" s="23" t="n"/>
      <c r="X256" s="23" t="n"/>
      <c r="Y256" s="23" t="n"/>
      <c r="Z256" s="23" t="n"/>
      <c r="AA256" s="23" t="n"/>
      <c r="AB256" s="30" t="n"/>
      <c r="AC256" s="1" t="n"/>
      <c r="AD256" s="1" t="str">
        <f>IF(G256="","",IFERROR(INDEX('Listas'!$N$6:$N$35,MATCH(G256,'Listas'!$M$6:$M$35,0)),""))</f>
        <v/>
      </c>
      <c r="AE256">
        <f>IF(G256="",1,IFERROR(INDEX('Listas'!$P$6:$P$35,MATCH(G256,'Listas'!$M$6:$M$35,0)),1))</f>
        <v>1</v>
      </c>
      <c r="AF256">
        <f>IF(H256="Compra",1,IF(H256="Venta",-1,0))</f>
        <v>0</v>
      </c>
      <c r="AG256">
        <f>IF(AND(D256&lt;&gt;"",ISNUMBER(R256)),1,0)</f>
        <v>0</v>
      </c>
      <c r="AH256">
        <f>IF(AG256=0,0,IF(OR('Panel'!$D$5="Todas las cuentas",'Panel'!$D$5="",F256='Panel'!$D$5),1,0))</f>
        <v>0</v>
      </c>
      <c r="AI256">
        <f>IF(AH256=0,0,IF(AND(OR('Panel'!$G$5="",D256&gt;='Panel'!$G$5),OR('Panel'!$J$5="",D256&lt;='Panel'!$J$5)),1,0))</f>
        <v>0</v>
      </c>
      <c r="AJ256">
        <f>IF(AI256=1,R256,0)</f>
        <v>0</v>
      </c>
      <c r="AK256" t="str">
        <f>IF(AI256=1,'Panel'!$AB$4+SUM($AJ$5:AJ256),"")</f>
        <v/>
      </c>
      <c r="AL256">
        <f>IF(AI256=0,N(AL255),IF(R256&lt;0,N(AL255)+1,0))</f>
        <v>1</v>
      </c>
      <c r="AM256">
        <f>IF(AI256=0,N(AM255),IF(R256&gt;0,N(AM255)+1,0))</f>
        <v>0</v>
      </c>
      <c r="AN256">
        <f>IF(AI256=1,MAX('Panel'!$AB$4,N(AN255),AK256),N(AN255))</f>
        <v>21371.061500000033</v>
      </c>
      <c r="AO256">
        <f>IF(AI256=1,AN256-AK256,0)</f>
        <v>0</v>
      </c>
      <c r="AP256">
        <f>IF(AND(AI256=1,AN256&gt;0),AO256/AN256,0)</f>
        <v>0</v>
      </c>
      <c r="AQ256" t="str">
        <f>IF(AI256=1,SUM($AI$5:AI256),"")</f>
        <v/>
      </c>
      <c r="AR256" t="str">
        <f>IF(AI256=1,IF(COUNTIFS($D$5:D256,D256,$AI$5:AI256,1)=1,SUMIFS($AJ$5:$AJ$504,$D$5:$D$504,D256),""),"")</f>
        <v/>
      </c>
      <c r="AS256" t="str">
        <f>IF(AG256=1,WEEKDAY(D256,2),"")</f>
        <v/>
      </c>
      <c r="AT256" s="31" t="str">
        <f>IF(AG256=1,DATE(YEAR(D256),MONTH(D256),1),"")</f>
        <v/>
      </c>
      <c r="AU256">
        <f>IF(AG256=0,0,IF(AND(OR('Prop challenge'!$D$7="",F256='Prop challenge'!$D$7),OR('Prop challenge'!$D$9="",D256&gt;='Prop challenge'!$D$9)),1,0))</f>
        <v>0</v>
      </c>
      <c r="AV256">
        <f>IF(AU256=1,IF(COUNTIFS($D$5:D256,D256,$AU$5:AU256,1)=1,1,0),0)</f>
        <v>0</v>
      </c>
      <c r="AW256" t="str">
        <f>IF(AV256=1,SUM($AV$5:AV256),"")</f>
        <v/>
      </c>
      <c r="AX256" t="str">
        <f>IF(AV256=1,SUMIFS($R$5:$R$504,$D$5:$D$504,D256,$AU$5:$AU$504,1),"")</f>
        <v/>
      </c>
    </row>
    <row r="257">
      <c r="A257" s="20" t="str">
        <f>IF(AG257=1,ROW()-4,"")</f>
        <v/>
      </c>
      <c r="B257" s="21" t="n"/>
      <c r="C257" s="22" t="n"/>
      <c r="D257" s="21" t="n"/>
      <c r="E257" s="22" t="n"/>
      <c r="F257" s="23" t="n"/>
      <c r="G257" s="23" t="n"/>
      <c r="H257" s="23" t="n"/>
      <c r="I257" s="24" t="n"/>
      <c r="J257" s="25" t="n"/>
      <c r="K257" s="25" t="n"/>
      <c r="L257" s="25" t="n"/>
      <c r="M257" s="25" t="n"/>
      <c r="N257" s="26" t="n"/>
      <c r="O257" s="26" t="n"/>
      <c r="P257" s="27" t="str">
        <f>IF(OR(J257="",K257="",I257="",AF257=0,AD257=""),"",(K257-J257)*AF257*I257*AD257*AE257)</f>
        <v/>
      </c>
      <c r="Q257" s="26" t="n"/>
      <c r="R257" s="28" t="str">
        <f>IF(Q257&lt;&gt;"",Q257,IF(P257="","",P257-N(N257)+N(O257)))</f>
        <v/>
      </c>
      <c r="S257" s="27" t="str">
        <f>IF(OR(L257="",J257="",I257="",AD257=""),"",ABS(J257-L257)*I257*AD257*AE257)</f>
        <v/>
      </c>
      <c r="T257" s="29" t="str">
        <f>IF(OR(R257="",S257="",S257=0),"",R257/S257)</f>
        <v/>
      </c>
      <c r="U257" s="20" t="str">
        <f>IF(R257="","",IF(R257&gt;0,"Ganadora",IF(R257&lt;0,"Perdedora","BE")))</f>
        <v/>
      </c>
      <c r="V257" s="23" t="n"/>
      <c r="W257" s="23" t="n"/>
      <c r="X257" s="23" t="n"/>
      <c r="Y257" s="23" t="n"/>
      <c r="Z257" s="23" t="n"/>
      <c r="AA257" s="23" t="n"/>
      <c r="AB257" s="30" t="n"/>
      <c r="AC257" s="1" t="n"/>
      <c r="AD257" s="1" t="str">
        <f>IF(G257="","",IFERROR(INDEX('Listas'!$N$6:$N$35,MATCH(G257,'Listas'!$M$6:$M$35,0)),""))</f>
        <v/>
      </c>
      <c r="AE257">
        <f>IF(G257="",1,IFERROR(INDEX('Listas'!$P$6:$P$35,MATCH(G257,'Listas'!$M$6:$M$35,0)),1))</f>
        <v>1</v>
      </c>
      <c r="AF257">
        <f>IF(H257="Compra",1,IF(H257="Venta",-1,0))</f>
        <v>0</v>
      </c>
      <c r="AG257">
        <f>IF(AND(D257&lt;&gt;"",ISNUMBER(R257)),1,0)</f>
        <v>0</v>
      </c>
      <c r="AH257">
        <f>IF(AG257=0,0,IF(OR('Panel'!$D$5="Todas las cuentas",'Panel'!$D$5="",F257='Panel'!$D$5),1,0))</f>
        <v>0</v>
      </c>
      <c r="AI257">
        <f>IF(AH257=0,0,IF(AND(OR('Panel'!$G$5="",D257&gt;='Panel'!$G$5),OR('Panel'!$J$5="",D257&lt;='Panel'!$J$5)),1,0))</f>
        <v>0</v>
      </c>
      <c r="AJ257">
        <f>IF(AI257=1,R257,0)</f>
        <v>0</v>
      </c>
      <c r="AK257" t="str">
        <f>IF(AI257=1,'Panel'!$AB$4+SUM($AJ$5:AJ257),"")</f>
        <v/>
      </c>
      <c r="AL257">
        <f>IF(AI257=0,N(AL256),IF(R257&lt;0,N(AL256)+1,0))</f>
        <v>1</v>
      </c>
      <c r="AM257">
        <f>IF(AI257=0,N(AM256),IF(R257&gt;0,N(AM256)+1,0))</f>
        <v>0</v>
      </c>
      <c r="AN257">
        <f>IF(AI257=1,MAX('Panel'!$AB$4,N(AN256),AK257),N(AN256))</f>
        <v>21371.061500000033</v>
      </c>
      <c r="AO257">
        <f>IF(AI257=1,AN257-AK257,0)</f>
        <v>0</v>
      </c>
      <c r="AP257">
        <f>IF(AND(AI257=1,AN257&gt;0),AO257/AN257,0)</f>
        <v>0</v>
      </c>
      <c r="AQ257" t="str">
        <f>IF(AI257=1,SUM($AI$5:AI257),"")</f>
        <v/>
      </c>
      <c r="AR257" t="str">
        <f>IF(AI257=1,IF(COUNTIFS($D$5:D257,D257,$AI$5:AI257,1)=1,SUMIFS($AJ$5:$AJ$504,$D$5:$D$504,D257),""),"")</f>
        <v/>
      </c>
      <c r="AS257" t="str">
        <f>IF(AG257=1,WEEKDAY(D257,2),"")</f>
        <v/>
      </c>
      <c r="AT257" s="31" t="str">
        <f>IF(AG257=1,DATE(YEAR(D257),MONTH(D257),1),"")</f>
        <v/>
      </c>
      <c r="AU257">
        <f>IF(AG257=0,0,IF(AND(OR('Prop challenge'!$D$7="",F257='Prop challenge'!$D$7),OR('Prop challenge'!$D$9="",D257&gt;='Prop challenge'!$D$9)),1,0))</f>
        <v>0</v>
      </c>
      <c r="AV257">
        <f>IF(AU257=1,IF(COUNTIFS($D$5:D257,D257,$AU$5:AU257,1)=1,1,0),0)</f>
        <v>0</v>
      </c>
      <c r="AW257" t="str">
        <f>IF(AV257=1,SUM($AV$5:AV257),"")</f>
        <v/>
      </c>
      <c r="AX257" t="str">
        <f>IF(AV257=1,SUMIFS($R$5:$R$504,$D$5:$D$504,D257,$AU$5:$AU$504,1),"")</f>
        <v/>
      </c>
    </row>
    <row r="258">
      <c r="A258" s="20" t="str">
        <f>IF(AG258=1,ROW()-4,"")</f>
        <v/>
      </c>
      <c r="B258" s="21" t="n"/>
      <c r="C258" s="22" t="n"/>
      <c r="D258" s="21" t="n"/>
      <c r="E258" s="22" t="n"/>
      <c r="F258" s="23" t="n"/>
      <c r="G258" s="23" t="n"/>
      <c r="H258" s="23" t="n"/>
      <c r="I258" s="24" t="n"/>
      <c r="J258" s="25" t="n"/>
      <c r="K258" s="25" t="n"/>
      <c r="L258" s="25" t="n"/>
      <c r="M258" s="25" t="n"/>
      <c r="N258" s="26" t="n"/>
      <c r="O258" s="26" t="n"/>
      <c r="P258" s="27" t="str">
        <f>IF(OR(J258="",K258="",I258="",AF258=0,AD258=""),"",(K258-J258)*AF258*I258*AD258*AE258)</f>
        <v/>
      </c>
      <c r="Q258" s="26" t="n"/>
      <c r="R258" s="28" t="str">
        <f>IF(Q258&lt;&gt;"",Q258,IF(P258="","",P258-N(N258)+N(O258)))</f>
        <v/>
      </c>
      <c r="S258" s="27" t="str">
        <f>IF(OR(L258="",J258="",I258="",AD258=""),"",ABS(J258-L258)*I258*AD258*AE258)</f>
        <v/>
      </c>
      <c r="T258" s="29" t="str">
        <f>IF(OR(R258="",S258="",S258=0),"",R258/S258)</f>
        <v/>
      </c>
      <c r="U258" s="20" t="str">
        <f>IF(R258="","",IF(R258&gt;0,"Ganadora",IF(R258&lt;0,"Perdedora","BE")))</f>
        <v/>
      </c>
      <c r="V258" s="23" t="n"/>
      <c r="W258" s="23" t="n"/>
      <c r="X258" s="23" t="n"/>
      <c r="Y258" s="23" t="n"/>
      <c r="Z258" s="23" t="n"/>
      <c r="AA258" s="23" t="n"/>
      <c r="AB258" s="30" t="n"/>
      <c r="AC258" s="1" t="n"/>
      <c r="AD258" s="1" t="str">
        <f>IF(G258="","",IFERROR(INDEX('Listas'!$N$6:$N$35,MATCH(G258,'Listas'!$M$6:$M$35,0)),""))</f>
        <v/>
      </c>
      <c r="AE258">
        <f>IF(G258="",1,IFERROR(INDEX('Listas'!$P$6:$P$35,MATCH(G258,'Listas'!$M$6:$M$35,0)),1))</f>
        <v>1</v>
      </c>
      <c r="AF258">
        <f>IF(H258="Compra",1,IF(H258="Venta",-1,0))</f>
        <v>0</v>
      </c>
      <c r="AG258">
        <f>IF(AND(D258&lt;&gt;"",ISNUMBER(R258)),1,0)</f>
        <v>0</v>
      </c>
      <c r="AH258">
        <f>IF(AG258=0,0,IF(OR('Panel'!$D$5="Todas las cuentas",'Panel'!$D$5="",F258='Panel'!$D$5),1,0))</f>
        <v>0</v>
      </c>
      <c r="AI258">
        <f>IF(AH258=0,0,IF(AND(OR('Panel'!$G$5="",D258&gt;='Panel'!$G$5),OR('Panel'!$J$5="",D258&lt;='Panel'!$J$5)),1,0))</f>
        <v>0</v>
      </c>
      <c r="AJ258">
        <f>IF(AI258=1,R258,0)</f>
        <v>0</v>
      </c>
      <c r="AK258" t="str">
        <f>IF(AI258=1,'Panel'!$AB$4+SUM($AJ$5:AJ258),"")</f>
        <v/>
      </c>
      <c r="AL258">
        <f>IF(AI258=0,N(AL257),IF(R258&lt;0,N(AL257)+1,0))</f>
        <v>1</v>
      </c>
      <c r="AM258">
        <f>IF(AI258=0,N(AM257),IF(R258&gt;0,N(AM257)+1,0))</f>
        <v>0</v>
      </c>
      <c r="AN258">
        <f>IF(AI258=1,MAX('Panel'!$AB$4,N(AN257),AK258),N(AN257))</f>
        <v>21371.061500000033</v>
      </c>
      <c r="AO258">
        <f>IF(AI258=1,AN258-AK258,0)</f>
        <v>0</v>
      </c>
      <c r="AP258">
        <f>IF(AND(AI258=1,AN258&gt;0),AO258/AN258,0)</f>
        <v>0</v>
      </c>
      <c r="AQ258" t="str">
        <f>IF(AI258=1,SUM($AI$5:AI258),"")</f>
        <v/>
      </c>
      <c r="AR258" t="str">
        <f>IF(AI258=1,IF(COUNTIFS($D$5:D258,D258,$AI$5:AI258,1)=1,SUMIFS($AJ$5:$AJ$504,$D$5:$D$504,D258),""),"")</f>
        <v/>
      </c>
      <c r="AS258" t="str">
        <f>IF(AG258=1,WEEKDAY(D258,2),"")</f>
        <v/>
      </c>
      <c r="AT258" s="31" t="str">
        <f>IF(AG258=1,DATE(YEAR(D258),MONTH(D258),1),"")</f>
        <v/>
      </c>
      <c r="AU258">
        <f>IF(AG258=0,0,IF(AND(OR('Prop challenge'!$D$7="",F258='Prop challenge'!$D$7),OR('Prop challenge'!$D$9="",D258&gt;='Prop challenge'!$D$9)),1,0))</f>
        <v>0</v>
      </c>
      <c r="AV258">
        <f>IF(AU258=1,IF(COUNTIFS($D$5:D258,D258,$AU$5:AU258,1)=1,1,0),0)</f>
        <v>0</v>
      </c>
      <c r="AW258" t="str">
        <f>IF(AV258=1,SUM($AV$5:AV258),"")</f>
        <v/>
      </c>
      <c r="AX258" t="str">
        <f>IF(AV258=1,SUMIFS($R$5:$R$504,$D$5:$D$504,D258,$AU$5:$AU$504,1),"")</f>
        <v/>
      </c>
    </row>
    <row r="259">
      <c r="A259" s="20" t="str">
        <f>IF(AG259=1,ROW()-4,"")</f>
        <v/>
      </c>
      <c r="B259" s="21" t="n"/>
      <c r="C259" s="22" t="n"/>
      <c r="D259" s="21" t="n"/>
      <c r="E259" s="22" t="n"/>
      <c r="F259" s="23" t="n"/>
      <c r="G259" s="23" t="n"/>
      <c r="H259" s="23" t="n"/>
      <c r="I259" s="24" t="n"/>
      <c r="J259" s="25" t="n"/>
      <c r="K259" s="25" t="n"/>
      <c r="L259" s="25" t="n"/>
      <c r="M259" s="25" t="n"/>
      <c r="N259" s="26" t="n"/>
      <c r="O259" s="26" t="n"/>
      <c r="P259" s="27" t="str">
        <f>IF(OR(J259="",K259="",I259="",AF259=0,AD259=""),"",(K259-J259)*AF259*I259*AD259*AE259)</f>
        <v/>
      </c>
      <c r="Q259" s="26" t="n"/>
      <c r="R259" s="28" t="str">
        <f>IF(Q259&lt;&gt;"",Q259,IF(P259="","",P259-N(N259)+N(O259)))</f>
        <v/>
      </c>
      <c r="S259" s="27" t="str">
        <f>IF(OR(L259="",J259="",I259="",AD259=""),"",ABS(J259-L259)*I259*AD259*AE259)</f>
        <v/>
      </c>
      <c r="T259" s="29" t="str">
        <f>IF(OR(R259="",S259="",S259=0),"",R259/S259)</f>
        <v/>
      </c>
      <c r="U259" s="20" t="str">
        <f>IF(R259="","",IF(R259&gt;0,"Ganadora",IF(R259&lt;0,"Perdedora","BE")))</f>
        <v/>
      </c>
      <c r="V259" s="23" t="n"/>
      <c r="W259" s="23" t="n"/>
      <c r="X259" s="23" t="n"/>
      <c r="Y259" s="23" t="n"/>
      <c r="Z259" s="23" t="n"/>
      <c r="AA259" s="23" t="n"/>
      <c r="AB259" s="30" t="n"/>
      <c r="AC259" s="1" t="n"/>
      <c r="AD259" s="1" t="str">
        <f>IF(G259="","",IFERROR(INDEX('Listas'!$N$6:$N$35,MATCH(G259,'Listas'!$M$6:$M$35,0)),""))</f>
        <v/>
      </c>
      <c r="AE259">
        <f>IF(G259="",1,IFERROR(INDEX('Listas'!$P$6:$P$35,MATCH(G259,'Listas'!$M$6:$M$35,0)),1))</f>
        <v>1</v>
      </c>
      <c r="AF259">
        <f>IF(H259="Compra",1,IF(H259="Venta",-1,0))</f>
        <v>0</v>
      </c>
      <c r="AG259">
        <f>IF(AND(D259&lt;&gt;"",ISNUMBER(R259)),1,0)</f>
        <v>0</v>
      </c>
      <c r="AH259">
        <f>IF(AG259=0,0,IF(OR('Panel'!$D$5="Todas las cuentas",'Panel'!$D$5="",F259='Panel'!$D$5),1,0))</f>
        <v>0</v>
      </c>
      <c r="AI259">
        <f>IF(AH259=0,0,IF(AND(OR('Panel'!$G$5="",D259&gt;='Panel'!$G$5),OR('Panel'!$J$5="",D259&lt;='Panel'!$J$5)),1,0))</f>
        <v>0</v>
      </c>
      <c r="AJ259">
        <f>IF(AI259=1,R259,0)</f>
        <v>0</v>
      </c>
      <c r="AK259" t="str">
        <f>IF(AI259=1,'Panel'!$AB$4+SUM($AJ$5:AJ259),"")</f>
        <v/>
      </c>
      <c r="AL259">
        <f>IF(AI259=0,N(AL258),IF(R259&lt;0,N(AL258)+1,0))</f>
        <v>1</v>
      </c>
      <c r="AM259">
        <f>IF(AI259=0,N(AM258),IF(R259&gt;0,N(AM258)+1,0))</f>
        <v>0</v>
      </c>
      <c r="AN259">
        <f>IF(AI259=1,MAX('Panel'!$AB$4,N(AN258),AK259),N(AN258))</f>
        <v>21371.061500000033</v>
      </c>
      <c r="AO259">
        <f>IF(AI259=1,AN259-AK259,0)</f>
        <v>0</v>
      </c>
      <c r="AP259">
        <f>IF(AND(AI259=1,AN259&gt;0),AO259/AN259,0)</f>
        <v>0</v>
      </c>
      <c r="AQ259" t="str">
        <f>IF(AI259=1,SUM($AI$5:AI259),"")</f>
        <v/>
      </c>
      <c r="AR259" t="str">
        <f>IF(AI259=1,IF(COUNTIFS($D$5:D259,D259,$AI$5:AI259,1)=1,SUMIFS($AJ$5:$AJ$504,$D$5:$D$504,D259),""),"")</f>
        <v/>
      </c>
      <c r="AS259" t="str">
        <f>IF(AG259=1,WEEKDAY(D259,2),"")</f>
        <v/>
      </c>
      <c r="AT259" s="31" t="str">
        <f>IF(AG259=1,DATE(YEAR(D259),MONTH(D259),1),"")</f>
        <v/>
      </c>
      <c r="AU259">
        <f>IF(AG259=0,0,IF(AND(OR('Prop challenge'!$D$7="",F259='Prop challenge'!$D$7),OR('Prop challenge'!$D$9="",D259&gt;='Prop challenge'!$D$9)),1,0))</f>
        <v>0</v>
      </c>
      <c r="AV259">
        <f>IF(AU259=1,IF(COUNTIFS($D$5:D259,D259,$AU$5:AU259,1)=1,1,0),0)</f>
        <v>0</v>
      </c>
      <c r="AW259" t="str">
        <f>IF(AV259=1,SUM($AV$5:AV259),"")</f>
        <v/>
      </c>
      <c r="AX259" t="str">
        <f>IF(AV259=1,SUMIFS($R$5:$R$504,$D$5:$D$504,D259,$AU$5:$AU$504,1),"")</f>
        <v/>
      </c>
    </row>
    <row r="260">
      <c r="A260" s="20" t="str">
        <f>IF(AG260=1,ROW()-4,"")</f>
        <v/>
      </c>
      <c r="B260" s="21" t="n"/>
      <c r="C260" s="22" t="n"/>
      <c r="D260" s="21" t="n"/>
      <c r="E260" s="22" t="n"/>
      <c r="F260" s="23" t="n"/>
      <c r="G260" s="23" t="n"/>
      <c r="H260" s="23" t="n"/>
      <c r="I260" s="24" t="n"/>
      <c r="J260" s="25" t="n"/>
      <c r="K260" s="25" t="n"/>
      <c r="L260" s="25" t="n"/>
      <c r="M260" s="25" t="n"/>
      <c r="N260" s="26" t="n"/>
      <c r="O260" s="26" t="n"/>
      <c r="P260" s="27" t="str">
        <f>IF(OR(J260="",K260="",I260="",AF260=0,AD260=""),"",(K260-J260)*AF260*I260*AD260*AE260)</f>
        <v/>
      </c>
      <c r="Q260" s="26" t="n"/>
      <c r="R260" s="28" t="str">
        <f>IF(Q260&lt;&gt;"",Q260,IF(P260="","",P260-N(N260)+N(O260)))</f>
        <v/>
      </c>
      <c r="S260" s="27" t="str">
        <f>IF(OR(L260="",J260="",I260="",AD260=""),"",ABS(J260-L260)*I260*AD260*AE260)</f>
        <v/>
      </c>
      <c r="T260" s="29" t="str">
        <f>IF(OR(R260="",S260="",S260=0),"",R260/S260)</f>
        <v/>
      </c>
      <c r="U260" s="20" t="str">
        <f>IF(R260="","",IF(R260&gt;0,"Ganadora",IF(R260&lt;0,"Perdedora","BE")))</f>
        <v/>
      </c>
      <c r="V260" s="23" t="n"/>
      <c r="W260" s="23" t="n"/>
      <c r="X260" s="23" t="n"/>
      <c r="Y260" s="23" t="n"/>
      <c r="Z260" s="23" t="n"/>
      <c r="AA260" s="23" t="n"/>
      <c r="AB260" s="30" t="n"/>
      <c r="AC260" s="1" t="n"/>
      <c r="AD260" s="1" t="str">
        <f>IF(G260="","",IFERROR(INDEX('Listas'!$N$6:$N$35,MATCH(G260,'Listas'!$M$6:$M$35,0)),""))</f>
        <v/>
      </c>
      <c r="AE260">
        <f>IF(G260="",1,IFERROR(INDEX('Listas'!$P$6:$P$35,MATCH(G260,'Listas'!$M$6:$M$35,0)),1))</f>
        <v>1</v>
      </c>
      <c r="AF260">
        <f>IF(H260="Compra",1,IF(H260="Venta",-1,0))</f>
        <v>0</v>
      </c>
      <c r="AG260">
        <f>IF(AND(D260&lt;&gt;"",ISNUMBER(R260)),1,0)</f>
        <v>0</v>
      </c>
      <c r="AH260">
        <f>IF(AG260=0,0,IF(OR('Panel'!$D$5="Todas las cuentas",'Panel'!$D$5="",F260='Panel'!$D$5),1,0))</f>
        <v>0</v>
      </c>
      <c r="AI260">
        <f>IF(AH260=0,0,IF(AND(OR('Panel'!$G$5="",D260&gt;='Panel'!$G$5),OR('Panel'!$J$5="",D260&lt;='Panel'!$J$5)),1,0))</f>
        <v>0</v>
      </c>
      <c r="AJ260">
        <f>IF(AI260=1,R260,0)</f>
        <v>0</v>
      </c>
      <c r="AK260" t="str">
        <f>IF(AI260=1,'Panel'!$AB$4+SUM($AJ$5:AJ260),"")</f>
        <v/>
      </c>
      <c r="AL260">
        <f>IF(AI260=0,N(AL259),IF(R260&lt;0,N(AL259)+1,0))</f>
        <v>1</v>
      </c>
      <c r="AM260">
        <f>IF(AI260=0,N(AM259),IF(R260&gt;0,N(AM259)+1,0))</f>
        <v>0</v>
      </c>
      <c r="AN260">
        <f>IF(AI260=1,MAX('Panel'!$AB$4,N(AN259),AK260),N(AN259))</f>
        <v>21371.061500000033</v>
      </c>
      <c r="AO260">
        <f>IF(AI260=1,AN260-AK260,0)</f>
        <v>0</v>
      </c>
      <c r="AP260">
        <f>IF(AND(AI260=1,AN260&gt;0),AO260/AN260,0)</f>
        <v>0</v>
      </c>
      <c r="AQ260" t="str">
        <f>IF(AI260=1,SUM($AI$5:AI260),"")</f>
        <v/>
      </c>
      <c r="AR260" t="str">
        <f>IF(AI260=1,IF(COUNTIFS($D$5:D260,D260,$AI$5:AI260,1)=1,SUMIFS($AJ$5:$AJ$504,$D$5:$D$504,D260),""),"")</f>
        <v/>
      </c>
      <c r="AS260" t="str">
        <f>IF(AG260=1,WEEKDAY(D260,2),"")</f>
        <v/>
      </c>
      <c r="AT260" s="31" t="str">
        <f>IF(AG260=1,DATE(YEAR(D260),MONTH(D260),1),"")</f>
        <v/>
      </c>
      <c r="AU260">
        <f>IF(AG260=0,0,IF(AND(OR('Prop challenge'!$D$7="",F260='Prop challenge'!$D$7),OR('Prop challenge'!$D$9="",D260&gt;='Prop challenge'!$D$9)),1,0))</f>
        <v>0</v>
      </c>
      <c r="AV260">
        <f>IF(AU260=1,IF(COUNTIFS($D$5:D260,D260,$AU$5:AU260,1)=1,1,0),0)</f>
        <v>0</v>
      </c>
      <c r="AW260" t="str">
        <f>IF(AV260=1,SUM($AV$5:AV260),"")</f>
        <v/>
      </c>
      <c r="AX260" t="str">
        <f>IF(AV260=1,SUMIFS($R$5:$R$504,$D$5:$D$504,D260,$AU$5:$AU$504,1),"")</f>
        <v/>
      </c>
    </row>
    <row r="261">
      <c r="A261" s="20" t="str">
        <f>IF(AG261=1,ROW()-4,"")</f>
        <v/>
      </c>
      <c r="B261" s="21" t="n"/>
      <c r="C261" s="22" t="n"/>
      <c r="D261" s="21" t="n"/>
      <c r="E261" s="22" t="n"/>
      <c r="F261" s="23" t="n"/>
      <c r="G261" s="23" t="n"/>
      <c r="H261" s="23" t="n"/>
      <c r="I261" s="24" t="n"/>
      <c r="J261" s="25" t="n"/>
      <c r="K261" s="25" t="n"/>
      <c r="L261" s="25" t="n"/>
      <c r="M261" s="25" t="n"/>
      <c r="N261" s="26" t="n"/>
      <c r="O261" s="26" t="n"/>
      <c r="P261" s="27" t="str">
        <f>IF(OR(J261="",K261="",I261="",AF261=0,AD261=""),"",(K261-J261)*AF261*I261*AD261*AE261)</f>
        <v/>
      </c>
      <c r="Q261" s="26" t="n"/>
      <c r="R261" s="28" t="str">
        <f>IF(Q261&lt;&gt;"",Q261,IF(P261="","",P261-N(N261)+N(O261)))</f>
        <v/>
      </c>
      <c r="S261" s="27" t="str">
        <f>IF(OR(L261="",J261="",I261="",AD261=""),"",ABS(J261-L261)*I261*AD261*AE261)</f>
        <v/>
      </c>
      <c r="T261" s="29" t="str">
        <f>IF(OR(R261="",S261="",S261=0),"",R261/S261)</f>
        <v/>
      </c>
      <c r="U261" s="20" t="str">
        <f>IF(R261="","",IF(R261&gt;0,"Ganadora",IF(R261&lt;0,"Perdedora","BE")))</f>
        <v/>
      </c>
      <c r="V261" s="23" t="n"/>
      <c r="W261" s="23" t="n"/>
      <c r="X261" s="23" t="n"/>
      <c r="Y261" s="23" t="n"/>
      <c r="Z261" s="23" t="n"/>
      <c r="AA261" s="23" t="n"/>
      <c r="AB261" s="30" t="n"/>
      <c r="AC261" s="1" t="n"/>
      <c r="AD261" s="1" t="str">
        <f>IF(G261="","",IFERROR(INDEX('Listas'!$N$6:$N$35,MATCH(G261,'Listas'!$M$6:$M$35,0)),""))</f>
        <v/>
      </c>
      <c r="AE261">
        <f>IF(G261="",1,IFERROR(INDEX('Listas'!$P$6:$P$35,MATCH(G261,'Listas'!$M$6:$M$35,0)),1))</f>
        <v>1</v>
      </c>
      <c r="AF261">
        <f>IF(H261="Compra",1,IF(H261="Venta",-1,0))</f>
        <v>0</v>
      </c>
      <c r="AG261">
        <f>IF(AND(D261&lt;&gt;"",ISNUMBER(R261)),1,0)</f>
        <v>0</v>
      </c>
      <c r="AH261">
        <f>IF(AG261=0,0,IF(OR('Panel'!$D$5="Todas las cuentas",'Panel'!$D$5="",F261='Panel'!$D$5),1,0))</f>
        <v>0</v>
      </c>
      <c r="AI261">
        <f>IF(AH261=0,0,IF(AND(OR('Panel'!$G$5="",D261&gt;='Panel'!$G$5),OR('Panel'!$J$5="",D261&lt;='Panel'!$J$5)),1,0))</f>
        <v>0</v>
      </c>
      <c r="AJ261">
        <f>IF(AI261=1,R261,0)</f>
        <v>0</v>
      </c>
      <c r="AK261" t="str">
        <f>IF(AI261=1,'Panel'!$AB$4+SUM($AJ$5:AJ261),"")</f>
        <v/>
      </c>
      <c r="AL261">
        <f>IF(AI261=0,N(AL260),IF(R261&lt;0,N(AL260)+1,0))</f>
        <v>1</v>
      </c>
      <c r="AM261">
        <f>IF(AI261=0,N(AM260),IF(R261&gt;0,N(AM260)+1,0))</f>
        <v>0</v>
      </c>
      <c r="AN261">
        <f>IF(AI261=1,MAX('Panel'!$AB$4,N(AN260),AK261),N(AN260))</f>
        <v>21371.061500000033</v>
      </c>
      <c r="AO261">
        <f>IF(AI261=1,AN261-AK261,0)</f>
        <v>0</v>
      </c>
      <c r="AP261">
        <f>IF(AND(AI261=1,AN261&gt;0),AO261/AN261,0)</f>
        <v>0</v>
      </c>
      <c r="AQ261" t="str">
        <f>IF(AI261=1,SUM($AI$5:AI261),"")</f>
        <v/>
      </c>
      <c r="AR261" t="str">
        <f>IF(AI261=1,IF(COUNTIFS($D$5:D261,D261,$AI$5:AI261,1)=1,SUMIFS($AJ$5:$AJ$504,$D$5:$D$504,D261),""),"")</f>
        <v/>
      </c>
      <c r="AS261" t="str">
        <f>IF(AG261=1,WEEKDAY(D261,2),"")</f>
        <v/>
      </c>
      <c r="AT261" s="31" t="str">
        <f>IF(AG261=1,DATE(YEAR(D261),MONTH(D261),1),"")</f>
        <v/>
      </c>
      <c r="AU261">
        <f>IF(AG261=0,0,IF(AND(OR('Prop challenge'!$D$7="",F261='Prop challenge'!$D$7),OR('Prop challenge'!$D$9="",D261&gt;='Prop challenge'!$D$9)),1,0))</f>
        <v>0</v>
      </c>
      <c r="AV261">
        <f>IF(AU261=1,IF(COUNTIFS($D$5:D261,D261,$AU$5:AU261,1)=1,1,0),0)</f>
        <v>0</v>
      </c>
      <c r="AW261" t="str">
        <f>IF(AV261=1,SUM($AV$5:AV261),"")</f>
        <v/>
      </c>
      <c r="AX261" t="str">
        <f>IF(AV261=1,SUMIFS($R$5:$R$504,$D$5:$D$504,D261,$AU$5:$AU$504,1),"")</f>
        <v/>
      </c>
    </row>
    <row r="262">
      <c r="A262" s="20" t="str">
        <f>IF(AG262=1,ROW()-4,"")</f>
        <v/>
      </c>
      <c r="B262" s="21" t="n"/>
      <c r="C262" s="22" t="n"/>
      <c r="D262" s="21" t="n"/>
      <c r="E262" s="22" t="n"/>
      <c r="F262" s="23" t="n"/>
      <c r="G262" s="23" t="n"/>
      <c r="H262" s="23" t="n"/>
      <c r="I262" s="24" t="n"/>
      <c r="J262" s="25" t="n"/>
      <c r="K262" s="25" t="n"/>
      <c r="L262" s="25" t="n"/>
      <c r="M262" s="25" t="n"/>
      <c r="N262" s="26" t="n"/>
      <c r="O262" s="26" t="n"/>
      <c r="P262" s="27" t="str">
        <f>IF(OR(J262="",K262="",I262="",AF262=0,AD262=""),"",(K262-J262)*AF262*I262*AD262*AE262)</f>
        <v/>
      </c>
      <c r="Q262" s="26" t="n"/>
      <c r="R262" s="28" t="str">
        <f>IF(Q262&lt;&gt;"",Q262,IF(P262="","",P262-N(N262)+N(O262)))</f>
        <v/>
      </c>
      <c r="S262" s="27" t="str">
        <f>IF(OR(L262="",J262="",I262="",AD262=""),"",ABS(J262-L262)*I262*AD262*AE262)</f>
        <v/>
      </c>
      <c r="T262" s="29" t="str">
        <f>IF(OR(R262="",S262="",S262=0),"",R262/S262)</f>
        <v/>
      </c>
      <c r="U262" s="20" t="str">
        <f>IF(R262="","",IF(R262&gt;0,"Ganadora",IF(R262&lt;0,"Perdedora","BE")))</f>
        <v/>
      </c>
      <c r="V262" s="23" t="n"/>
      <c r="W262" s="23" t="n"/>
      <c r="X262" s="23" t="n"/>
      <c r="Y262" s="23" t="n"/>
      <c r="Z262" s="23" t="n"/>
      <c r="AA262" s="23" t="n"/>
      <c r="AB262" s="30" t="n"/>
      <c r="AC262" s="1" t="n"/>
      <c r="AD262" s="1" t="str">
        <f>IF(G262="","",IFERROR(INDEX('Listas'!$N$6:$N$35,MATCH(G262,'Listas'!$M$6:$M$35,0)),""))</f>
        <v/>
      </c>
      <c r="AE262">
        <f>IF(G262="",1,IFERROR(INDEX('Listas'!$P$6:$P$35,MATCH(G262,'Listas'!$M$6:$M$35,0)),1))</f>
        <v>1</v>
      </c>
      <c r="AF262">
        <f>IF(H262="Compra",1,IF(H262="Venta",-1,0))</f>
        <v>0</v>
      </c>
      <c r="AG262">
        <f>IF(AND(D262&lt;&gt;"",ISNUMBER(R262)),1,0)</f>
        <v>0</v>
      </c>
      <c r="AH262">
        <f>IF(AG262=0,0,IF(OR('Panel'!$D$5="Todas las cuentas",'Panel'!$D$5="",F262='Panel'!$D$5),1,0))</f>
        <v>0</v>
      </c>
      <c r="AI262">
        <f>IF(AH262=0,0,IF(AND(OR('Panel'!$G$5="",D262&gt;='Panel'!$G$5),OR('Panel'!$J$5="",D262&lt;='Panel'!$J$5)),1,0))</f>
        <v>0</v>
      </c>
      <c r="AJ262">
        <f>IF(AI262=1,R262,0)</f>
        <v>0</v>
      </c>
      <c r="AK262" t="str">
        <f>IF(AI262=1,'Panel'!$AB$4+SUM($AJ$5:AJ262),"")</f>
        <v/>
      </c>
      <c r="AL262">
        <f>IF(AI262=0,N(AL261),IF(R262&lt;0,N(AL261)+1,0))</f>
        <v>1</v>
      </c>
      <c r="AM262">
        <f>IF(AI262=0,N(AM261),IF(R262&gt;0,N(AM261)+1,0))</f>
        <v>0</v>
      </c>
      <c r="AN262">
        <f>IF(AI262=1,MAX('Panel'!$AB$4,N(AN261),AK262),N(AN261))</f>
        <v>21371.061500000033</v>
      </c>
      <c r="AO262">
        <f>IF(AI262=1,AN262-AK262,0)</f>
        <v>0</v>
      </c>
      <c r="AP262">
        <f>IF(AND(AI262=1,AN262&gt;0),AO262/AN262,0)</f>
        <v>0</v>
      </c>
      <c r="AQ262" t="str">
        <f>IF(AI262=1,SUM($AI$5:AI262),"")</f>
        <v/>
      </c>
      <c r="AR262" t="str">
        <f>IF(AI262=1,IF(COUNTIFS($D$5:D262,D262,$AI$5:AI262,1)=1,SUMIFS($AJ$5:$AJ$504,$D$5:$D$504,D262),""),"")</f>
        <v/>
      </c>
      <c r="AS262" t="str">
        <f>IF(AG262=1,WEEKDAY(D262,2),"")</f>
        <v/>
      </c>
      <c r="AT262" s="31" t="str">
        <f>IF(AG262=1,DATE(YEAR(D262),MONTH(D262),1),"")</f>
        <v/>
      </c>
      <c r="AU262">
        <f>IF(AG262=0,0,IF(AND(OR('Prop challenge'!$D$7="",F262='Prop challenge'!$D$7),OR('Prop challenge'!$D$9="",D262&gt;='Prop challenge'!$D$9)),1,0))</f>
        <v>0</v>
      </c>
      <c r="AV262">
        <f>IF(AU262=1,IF(COUNTIFS($D$5:D262,D262,$AU$5:AU262,1)=1,1,0),0)</f>
        <v>0</v>
      </c>
      <c r="AW262" t="str">
        <f>IF(AV262=1,SUM($AV$5:AV262),"")</f>
        <v/>
      </c>
      <c r="AX262" t="str">
        <f>IF(AV262=1,SUMIFS($R$5:$R$504,$D$5:$D$504,D262,$AU$5:$AU$504,1),"")</f>
        <v/>
      </c>
    </row>
    <row r="263">
      <c r="A263" s="20" t="str">
        <f>IF(AG263=1,ROW()-4,"")</f>
        <v/>
      </c>
      <c r="B263" s="21" t="n"/>
      <c r="C263" s="22" t="n"/>
      <c r="D263" s="21" t="n"/>
      <c r="E263" s="22" t="n"/>
      <c r="F263" s="23" t="n"/>
      <c r="G263" s="23" t="n"/>
      <c r="H263" s="23" t="n"/>
      <c r="I263" s="24" t="n"/>
      <c r="J263" s="25" t="n"/>
      <c r="K263" s="25" t="n"/>
      <c r="L263" s="25" t="n"/>
      <c r="M263" s="25" t="n"/>
      <c r="N263" s="26" t="n"/>
      <c r="O263" s="26" t="n"/>
      <c r="P263" s="27" t="str">
        <f>IF(OR(J263="",K263="",I263="",AF263=0,AD263=""),"",(K263-J263)*AF263*I263*AD263*AE263)</f>
        <v/>
      </c>
      <c r="Q263" s="26" t="n"/>
      <c r="R263" s="28" t="str">
        <f>IF(Q263&lt;&gt;"",Q263,IF(P263="","",P263-N(N263)+N(O263)))</f>
        <v/>
      </c>
      <c r="S263" s="27" t="str">
        <f>IF(OR(L263="",J263="",I263="",AD263=""),"",ABS(J263-L263)*I263*AD263*AE263)</f>
        <v/>
      </c>
      <c r="T263" s="29" t="str">
        <f>IF(OR(R263="",S263="",S263=0),"",R263/S263)</f>
        <v/>
      </c>
      <c r="U263" s="20" t="str">
        <f>IF(R263="","",IF(R263&gt;0,"Ganadora",IF(R263&lt;0,"Perdedora","BE")))</f>
        <v/>
      </c>
      <c r="V263" s="23" t="n"/>
      <c r="W263" s="23" t="n"/>
      <c r="X263" s="23" t="n"/>
      <c r="Y263" s="23" t="n"/>
      <c r="Z263" s="23" t="n"/>
      <c r="AA263" s="23" t="n"/>
      <c r="AB263" s="30" t="n"/>
      <c r="AC263" s="1" t="n"/>
      <c r="AD263" s="1" t="str">
        <f>IF(G263="","",IFERROR(INDEX('Listas'!$N$6:$N$35,MATCH(G263,'Listas'!$M$6:$M$35,0)),""))</f>
        <v/>
      </c>
      <c r="AE263">
        <f>IF(G263="",1,IFERROR(INDEX('Listas'!$P$6:$P$35,MATCH(G263,'Listas'!$M$6:$M$35,0)),1))</f>
        <v>1</v>
      </c>
      <c r="AF263">
        <f>IF(H263="Compra",1,IF(H263="Venta",-1,0))</f>
        <v>0</v>
      </c>
      <c r="AG263">
        <f>IF(AND(D263&lt;&gt;"",ISNUMBER(R263)),1,0)</f>
        <v>0</v>
      </c>
      <c r="AH263">
        <f>IF(AG263=0,0,IF(OR('Panel'!$D$5="Todas las cuentas",'Panel'!$D$5="",F263='Panel'!$D$5),1,0))</f>
        <v>0</v>
      </c>
      <c r="AI263">
        <f>IF(AH263=0,0,IF(AND(OR('Panel'!$G$5="",D263&gt;='Panel'!$G$5),OR('Panel'!$J$5="",D263&lt;='Panel'!$J$5)),1,0))</f>
        <v>0</v>
      </c>
      <c r="AJ263">
        <f>IF(AI263=1,R263,0)</f>
        <v>0</v>
      </c>
      <c r="AK263" t="str">
        <f>IF(AI263=1,'Panel'!$AB$4+SUM($AJ$5:AJ263),"")</f>
        <v/>
      </c>
      <c r="AL263">
        <f>IF(AI263=0,N(AL262),IF(R263&lt;0,N(AL262)+1,0))</f>
        <v>1</v>
      </c>
      <c r="AM263">
        <f>IF(AI263=0,N(AM262),IF(R263&gt;0,N(AM262)+1,0))</f>
        <v>0</v>
      </c>
      <c r="AN263">
        <f>IF(AI263=1,MAX('Panel'!$AB$4,N(AN262),AK263),N(AN262))</f>
        <v>21371.061500000033</v>
      </c>
      <c r="AO263">
        <f>IF(AI263=1,AN263-AK263,0)</f>
        <v>0</v>
      </c>
      <c r="AP263">
        <f>IF(AND(AI263=1,AN263&gt;0),AO263/AN263,0)</f>
        <v>0</v>
      </c>
      <c r="AQ263" t="str">
        <f>IF(AI263=1,SUM($AI$5:AI263),"")</f>
        <v/>
      </c>
      <c r="AR263" t="str">
        <f>IF(AI263=1,IF(COUNTIFS($D$5:D263,D263,$AI$5:AI263,1)=1,SUMIFS($AJ$5:$AJ$504,$D$5:$D$504,D263),""),"")</f>
        <v/>
      </c>
      <c r="AS263" t="str">
        <f>IF(AG263=1,WEEKDAY(D263,2),"")</f>
        <v/>
      </c>
      <c r="AT263" s="31" t="str">
        <f>IF(AG263=1,DATE(YEAR(D263),MONTH(D263),1),"")</f>
        <v/>
      </c>
      <c r="AU263">
        <f>IF(AG263=0,0,IF(AND(OR('Prop challenge'!$D$7="",F263='Prop challenge'!$D$7),OR('Prop challenge'!$D$9="",D263&gt;='Prop challenge'!$D$9)),1,0))</f>
        <v>0</v>
      </c>
      <c r="AV263">
        <f>IF(AU263=1,IF(COUNTIFS($D$5:D263,D263,$AU$5:AU263,1)=1,1,0),0)</f>
        <v>0</v>
      </c>
      <c r="AW263" t="str">
        <f>IF(AV263=1,SUM($AV$5:AV263),"")</f>
        <v/>
      </c>
      <c r="AX263" t="str">
        <f>IF(AV263=1,SUMIFS($R$5:$R$504,$D$5:$D$504,D263,$AU$5:$AU$504,1),"")</f>
        <v/>
      </c>
    </row>
    <row r="264">
      <c r="A264" s="20" t="str">
        <f>IF(AG264=1,ROW()-4,"")</f>
        <v/>
      </c>
      <c r="B264" s="21" t="n"/>
      <c r="C264" s="22" t="n"/>
      <c r="D264" s="21" t="n"/>
      <c r="E264" s="22" t="n"/>
      <c r="F264" s="23" t="n"/>
      <c r="G264" s="23" t="n"/>
      <c r="H264" s="23" t="n"/>
      <c r="I264" s="24" t="n"/>
      <c r="J264" s="25" t="n"/>
      <c r="K264" s="25" t="n"/>
      <c r="L264" s="25" t="n"/>
      <c r="M264" s="25" t="n"/>
      <c r="N264" s="26" t="n"/>
      <c r="O264" s="26" t="n"/>
      <c r="P264" s="27" t="str">
        <f>IF(OR(J264="",K264="",I264="",AF264=0,AD264=""),"",(K264-J264)*AF264*I264*AD264*AE264)</f>
        <v/>
      </c>
      <c r="Q264" s="26" t="n"/>
      <c r="R264" s="28" t="str">
        <f>IF(Q264&lt;&gt;"",Q264,IF(P264="","",P264-N(N264)+N(O264)))</f>
        <v/>
      </c>
      <c r="S264" s="27" t="str">
        <f>IF(OR(L264="",J264="",I264="",AD264=""),"",ABS(J264-L264)*I264*AD264*AE264)</f>
        <v/>
      </c>
      <c r="T264" s="29" t="str">
        <f>IF(OR(R264="",S264="",S264=0),"",R264/S264)</f>
        <v/>
      </c>
      <c r="U264" s="20" t="str">
        <f>IF(R264="","",IF(R264&gt;0,"Ganadora",IF(R264&lt;0,"Perdedora","BE")))</f>
        <v/>
      </c>
      <c r="V264" s="23" t="n"/>
      <c r="W264" s="23" t="n"/>
      <c r="X264" s="23" t="n"/>
      <c r="Y264" s="23" t="n"/>
      <c r="Z264" s="23" t="n"/>
      <c r="AA264" s="23" t="n"/>
      <c r="AB264" s="30" t="n"/>
      <c r="AC264" s="1" t="n"/>
      <c r="AD264" s="1" t="str">
        <f>IF(G264="","",IFERROR(INDEX('Listas'!$N$6:$N$35,MATCH(G264,'Listas'!$M$6:$M$35,0)),""))</f>
        <v/>
      </c>
      <c r="AE264">
        <f>IF(G264="",1,IFERROR(INDEX('Listas'!$P$6:$P$35,MATCH(G264,'Listas'!$M$6:$M$35,0)),1))</f>
        <v>1</v>
      </c>
      <c r="AF264">
        <f>IF(H264="Compra",1,IF(H264="Venta",-1,0))</f>
        <v>0</v>
      </c>
      <c r="AG264">
        <f>IF(AND(D264&lt;&gt;"",ISNUMBER(R264)),1,0)</f>
        <v>0</v>
      </c>
      <c r="AH264">
        <f>IF(AG264=0,0,IF(OR('Panel'!$D$5="Todas las cuentas",'Panel'!$D$5="",F264='Panel'!$D$5),1,0))</f>
        <v>0</v>
      </c>
      <c r="AI264">
        <f>IF(AH264=0,0,IF(AND(OR('Panel'!$G$5="",D264&gt;='Panel'!$G$5),OR('Panel'!$J$5="",D264&lt;='Panel'!$J$5)),1,0))</f>
        <v>0</v>
      </c>
      <c r="AJ264">
        <f>IF(AI264=1,R264,0)</f>
        <v>0</v>
      </c>
      <c r="AK264" t="str">
        <f>IF(AI264=1,'Panel'!$AB$4+SUM($AJ$5:AJ264),"")</f>
        <v/>
      </c>
      <c r="AL264">
        <f>IF(AI264=0,N(AL263),IF(R264&lt;0,N(AL263)+1,0))</f>
        <v>1</v>
      </c>
      <c r="AM264">
        <f>IF(AI264=0,N(AM263),IF(R264&gt;0,N(AM263)+1,0))</f>
        <v>0</v>
      </c>
      <c r="AN264">
        <f>IF(AI264=1,MAX('Panel'!$AB$4,N(AN263),AK264),N(AN263))</f>
        <v>21371.061500000033</v>
      </c>
      <c r="AO264">
        <f>IF(AI264=1,AN264-AK264,0)</f>
        <v>0</v>
      </c>
      <c r="AP264">
        <f>IF(AND(AI264=1,AN264&gt;0),AO264/AN264,0)</f>
        <v>0</v>
      </c>
      <c r="AQ264" t="str">
        <f>IF(AI264=1,SUM($AI$5:AI264),"")</f>
        <v/>
      </c>
      <c r="AR264" t="str">
        <f>IF(AI264=1,IF(COUNTIFS($D$5:D264,D264,$AI$5:AI264,1)=1,SUMIFS($AJ$5:$AJ$504,$D$5:$D$504,D264),""),"")</f>
        <v/>
      </c>
      <c r="AS264" t="str">
        <f>IF(AG264=1,WEEKDAY(D264,2),"")</f>
        <v/>
      </c>
      <c r="AT264" s="31" t="str">
        <f>IF(AG264=1,DATE(YEAR(D264),MONTH(D264),1),"")</f>
        <v/>
      </c>
      <c r="AU264">
        <f>IF(AG264=0,0,IF(AND(OR('Prop challenge'!$D$7="",F264='Prop challenge'!$D$7),OR('Prop challenge'!$D$9="",D264&gt;='Prop challenge'!$D$9)),1,0))</f>
        <v>0</v>
      </c>
      <c r="AV264">
        <f>IF(AU264=1,IF(COUNTIFS($D$5:D264,D264,$AU$5:AU264,1)=1,1,0),0)</f>
        <v>0</v>
      </c>
      <c r="AW264" t="str">
        <f>IF(AV264=1,SUM($AV$5:AV264),"")</f>
        <v/>
      </c>
      <c r="AX264" t="str">
        <f>IF(AV264=1,SUMIFS($R$5:$R$504,$D$5:$D$504,D264,$AU$5:$AU$504,1),"")</f>
        <v/>
      </c>
    </row>
    <row r="265">
      <c r="A265" s="20" t="str">
        <f>IF(AG265=1,ROW()-4,"")</f>
        <v/>
      </c>
      <c r="B265" s="21" t="n"/>
      <c r="C265" s="22" t="n"/>
      <c r="D265" s="21" t="n"/>
      <c r="E265" s="22" t="n"/>
      <c r="F265" s="23" t="n"/>
      <c r="G265" s="23" t="n"/>
      <c r="H265" s="23" t="n"/>
      <c r="I265" s="24" t="n"/>
      <c r="J265" s="25" t="n"/>
      <c r="K265" s="25" t="n"/>
      <c r="L265" s="25" t="n"/>
      <c r="M265" s="25" t="n"/>
      <c r="N265" s="26" t="n"/>
      <c r="O265" s="26" t="n"/>
      <c r="P265" s="27" t="str">
        <f>IF(OR(J265="",K265="",I265="",AF265=0,AD265=""),"",(K265-J265)*AF265*I265*AD265*AE265)</f>
        <v/>
      </c>
      <c r="Q265" s="26" t="n"/>
      <c r="R265" s="28" t="str">
        <f>IF(Q265&lt;&gt;"",Q265,IF(P265="","",P265-N(N265)+N(O265)))</f>
        <v/>
      </c>
      <c r="S265" s="27" t="str">
        <f>IF(OR(L265="",J265="",I265="",AD265=""),"",ABS(J265-L265)*I265*AD265*AE265)</f>
        <v/>
      </c>
      <c r="T265" s="29" t="str">
        <f>IF(OR(R265="",S265="",S265=0),"",R265/S265)</f>
        <v/>
      </c>
      <c r="U265" s="20" t="str">
        <f>IF(R265="","",IF(R265&gt;0,"Ganadora",IF(R265&lt;0,"Perdedora","BE")))</f>
        <v/>
      </c>
      <c r="V265" s="23" t="n"/>
      <c r="W265" s="23" t="n"/>
      <c r="X265" s="23" t="n"/>
      <c r="Y265" s="23" t="n"/>
      <c r="Z265" s="23" t="n"/>
      <c r="AA265" s="23" t="n"/>
      <c r="AB265" s="30" t="n"/>
      <c r="AC265" s="1" t="n"/>
      <c r="AD265" s="1" t="str">
        <f>IF(G265="","",IFERROR(INDEX('Listas'!$N$6:$N$35,MATCH(G265,'Listas'!$M$6:$M$35,0)),""))</f>
        <v/>
      </c>
      <c r="AE265">
        <f>IF(G265="",1,IFERROR(INDEX('Listas'!$P$6:$P$35,MATCH(G265,'Listas'!$M$6:$M$35,0)),1))</f>
        <v>1</v>
      </c>
      <c r="AF265">
        <f>IF(H265="Compra",1,IF(H265="Venta",-1,0))</f>
        <v>0</v>
      </c>
      <c r="AG265">
        <f>IF(AND(D265&lt;&gt;"",ISNUMBER(R265)),1,0)</f>
        <v>0</v>
      </c>
      <c r="AH265">
        <f>IF(AG265=0,0,IF(OR('Panel'!$D$5="Todas las cuentas",'Panel'!$D$5="",F265='Panel'!$D$5),1,0))</f>
        <v>0</v>
      </c>
      <c r="AI265">
        <f>IF(AH265=0,0,IF(AND(OR('Panel'!$G$5="",D265&gt;='Panel'!$G$5),OR('Panel'!$J$5="",D265&lt;='Panel'!$J$5)),1,0))</f>
        <v>0</v>
      </c>
      <c r="AJ265">
        <f>IF(AI265=1,R265,0)</f>
        <v>0</v>
      </c>
      <c r="AK265" t="str">
        <f>IF(AI265=1,'Panel'!$AB$4+SUM($AJ$5:AJ265),"")</f>
        <v/>
      </c>
      <c r="AL265">
        <f>IF(AI265=0,N(AL264),IF(R265&lt;0,N(AL264)+1,0))</f>
        <v>1</v>
      </c>
      <c r="AM265">
        <f>IF(AI265=0,N(AM264),IF(R265&gt;0,N(AM264)+1,0))</f>
        <v>0</v>
      </c>
      <c r="AN265">
        <f>IF(AI265=1,MAX('Panel'!$AB$4,N(AN264),AK265),N(AN264))</f>
        <v>21371.061500000033</v>
      </c>
      <c r="AO265">
        <f>IF(AI265=1,AN265-AK265,0)</f>
        <v>0</v>
      </c>
      <c r="AP265">
        <f>IF(AND(AI265=1,AN265&gt;0),AO265/AN265,0)</f>
        <v>0</v>
      </c>
      <c r="AQ265" t="str">
        <f>IF(AI265=1,SUM($AI$5:AI265),"")</f>
        <v/>
      </c>
      <c r="AR265" t="str">
        <f>IF(AI265=1,IF(COUNTIFS($D$5:D265,D265,$AI$5:AI265,1)=1,SUMIFS($AJ$5:$AJ$504,$D$5:$D$504,D265),""),"")</f>
        <v/>
      </c>
      <c r="AS265" t="str">
        <f>IF(AG265=1,WEEKDAY(D265,2),"")</f>
        <v/>
      </c>
      <c r="AT265" s="31" t="str">
        <f>IF(AG265=1,DATE(YEAR(D265),MONTH(D265),1),"")</f>
        <v/>
      </c>
      <c r="AU265">
        <f>IF(AG265=0,0,IF(AND(OR('Prop challenge'!$D$7="",F265='Prop challenge'!$D$7),OR('Prop challenge'!$D$9="",D265&gt;='Prop challenge'!$D$9)),1,0))</f>
        <v>0</v>
      </c>
      <c r="AV265">
        <f>IF(AU265=1,IF(COUNTIFS($D$5:D265,D265,$AU$5:AU265,1)=1,1,0),0)</f>
        <v>0</v>
      </c>
      <c r="AW265" t="str">
        <f>IF(AV265=1,SUM($AV$5:AV265),"")</f>
        <v/>
      </c>
      <c r="AX265" t="str">
        <f>IF(AV265=1,SUMIFS($R$5:$R$504,$D$5:$D$504,D265,$AU$5:$AU$504,1),"")</f>
        <v/>
      </c>
    </row>
    <row r="266">
      <c r="A266" s="20" t="str">
        <f>IF(AG266=1,ROW()-4,"")</f>
        <v/>
      </c>
      <c r="B266" s="21" t="n"/>
      <c r="C266" s="22" t="n"/>
      <c r="D266" s="21" t="n"/>
      <c r="E266" s="22" t="n"/>
      <c r="F266" s="23" t="n"/>
      <c r="G266" s="23" t="n"/>
      <c r="H266" s="23" t="n"/>
      <c r="I266" s="24" t="n"/>
      <c r="J266" s="25" t="n"/>
      <c r="K266" s="25" t="n"/>
      <c r="L266" s="25" t="n"/>
      <c r="M266" s="25" t="n"/>
      <c r="N266" s="26" t="n"/>
      <c r="O266" s="26" t="n"/>
      <c r="P266" s="27" t="str">
        <f>IF(OR(J266="",K266="",I266="",AF266=0,AD266=""),"",(K266-J266)*AF266*I266*AD266*AE266)</f>
        <v/>
      </c>
      <c r="Q266" s="26" t="n"/>
      <c r="R266" s="28" t="str">
        <f>IF(Q266&lt;&gt;"",Q266,IF(P266="","",P266-N(N266)+N(O266)))</f>
        <v/>
      </c>
      <c r="S266" s="27" t="str">
        <f>IF(OR(L266="",J266="",I266="",AD266=""),"",ABS(J266-L266)*I266*AD266*AE266)</f>
        <v/>
      </c>
      <c r="T266" s="29" t="str">
        <f>IF(OR(R266="",S266="",S266=0),"",R266/S266)</f>
        <v/>
      </c>
      <c r="U266" s="20" t="str">
        <f>IF(R266="","",IF(R266&gt;0,"Ganadora",IF(R266&lt;0,"Perdedora","BE")))</f>
        <v/>
      </c>
      <c r="V266" s="23" t="n"/>
      <c r="W266" s="23" t="n"/>
      <c r="X266" s="23" t="n"/>
      <c r="Y266" s="23" t="n"/>
      <c r="Z266" s="23" t="n"/>
      <c r="AA266" s="23" t="n"/>
      <c r="AB266" s="30" t="n"/>
      <c r="AC266" s="1" t="n"/>
      <c r="AD266" s="1" t="str">
        <f>IF(G266="","",IFERROR(INDEX('Listas'!$N$6:$N$35,MATCH(G266,'Listas'!$M$6:$M$35,0)),""))</f>
        <v/>
      </c>
      <c r="AE266">
        <f>IF(G266="",1,IFERROR(INDEX('Listas'!$P$6:$P$35,MATCH(G266,'Listas'!$M$6:$M$35,0)),1))</f>
        <v>1</v>
      </c>
      <c r="AF266">
        <f>IF(H266="Compra",1,IF(H266="Venta",-1,0))</f>
        <v>0</v>
      </c>
      <c r="AG266">
        <f>IF(AND(D266&lt;&gt;"",ISNUMBER(R266)),1,0)</f>
        <v>0</v>
      </c>
      <c r="AH266">
        <f>IF(AG266=0,0,IF(OR('Panel'!$D$5="Todas las cuentas",'Panel'!$D$5="",F266='Panel'!$D$5),1,0))</f>
        <v>0</v>
      </c>
      <c r="AI266">
        <f>IF(AH266=0,0,IF(AND(OR('Panel'!$G$5="",D266&gt;='Panel'!$G$5),OR('Panel'!$J$5="",D266&lt;='Panel'!$J$5)),1,0))</f>
        <v>0</v>
      </c>
      <c r="AJ266">
        <f>IF(AI266=1,R266,0)</f>
        <v>0</v>
      </c>
      <c r="AK266" t="str">
        <f>IF(AI266=1,'Panel'!$AB$4+SUM($AJ$5:AJ266),"")</f>
        <v/>
      </c>
      <c r="AL266">
        <f>IF(AI266=0,N(AL265),IF(R266&lt;0,N(AL265)+1,0))</f>
        <v>1</v>
      </c>
      <c r="AM266">
        <f>IF(AI266=0,N(AM265),IF(R266&gt;0,N(AM265)+1,0))</f>
        <v>0</v>
      </c>
      <c r="AN266">
        <f>IF(AI266=1,MAX('Panel'!$AB$4,N(AN265),AK266),N(AN265))</f>
        <v>21371.061500000033</v>
      </c>
      <c r="AO266">
        <f>IF(AI266=1,AN266-AK266,0)</f>
        <v>0</v>
      </c>
      <c r="AP266">
        <f>IF(AND(AI266=1,AN266&gt;0),AO266/AN266,0)</f>
        <v>0</v>
      </c>
      <c r="AQ266" t="str">
        <f>IF(AI266=1,SUM($AI$5:AI266),"")</f>
        <v/>
      </c>
      <c r="AR266" t="str">
        <f>IF(AI266=1,IF(COUNTIFS($D$5:D266,D266,$AI$5:AI266,1)=1,SUMIFS($AJ$5:$AJ$504,$D$5:$D$504,D266),""),"")</f>
        <v/>
      </c>
      <c r="AS266" t="str">
        <f>IF(AG266=1,WEEKDAY(D266,2),"")</f>
        <v/>
      </c>
      <c r="AT266" s="31" t="str">
        <f>IF(AG266=1,DATE(YEAR(D266),MONTH(D266),1),"")</f>
        <v/>
      </c>
      <c r="AU266">
        <f>IF(AG266=0,0,IF(AND(OR('Prop challenge'!$D$7="",F266='Prop challenge'!$D$7),OR('Prop challenge'!$D$9="",D266&gt;='Prop challenge'!$D$9)),1,0))</f>
        <v>0</v>
      </c>
      <c r="AV266">
        <f>IF(AU266=1,IF(COUNTIFS($D$5:D266,D266,$AU$5:AU266,1)=1,1,0),0)</f>
        <v>0</v>
      </c>
      <c r="AW266" t="str">
        <f>IF(AV266=1,SUM($AV$5:AV266),"")</f>
        <v/>
      </c>
      <c r="AX266" t="str">
        <f>IF(AV266=1,SUMIFS($R$5:$R$504,$D$5:$D$504,D266,$AU$5:$AU$504,1),"")</f>
        <v/>
      </c>
    </row>
    <row r="267">
      <c r="A267" s="20" t="str">
        <f>IF(AG267=1,ROW()-4,"")</f>
        <v/>
      </c>
      <c r="B267" s="21" t="n"/>
      <c r="C267" s="22" t="n"/>
      <c r="D267" s="21" t="n"/>
      <c r="E267" s="22" t="n"/>
      <c r="F267" s="23" t="n"/>
      <c r="G267" s="23" t="n"/>
      <c r="H267" s="23" t="n"/>
      <c r="I267" s="24" t="n"/>
      <c r="J267" s="25" t="n"/>
      <c r="K267" s="25" t="n"/>
      <c r="L267" s="25" t="n"/>
      <c r="M267" s="25" t="n"/>
      <c r="N267" s="26" t="n"/>
      <c r="O267" s="26" t="n"/>
      <c r="P267" s="27" t="str">
        <f>IF(OR(J267="",K267="",I267="",AF267=0,AD267=""),"",(K267-J267)*AF267*I267*AD267*AE267)</f>
        <v/>
      </c>
      <c r="Q267" s="26" t="n"/>
      <c r="R267" s="28" t="str">
        <f>IF(Q267&lt;&gt;"",Q267,IF(P267="","",P267-N(N267)+N(O267)))</f>
        <v/>
      </c>
      <c r="S267" s="27" t="str">
        <f>IF(OR(L267="",J267="",I267="",AD267=""),"",ABS(J267-L267)*I267*AD267*AE267)</f>
        <v/>
      </c>
      <c r="T267" s="29" t="str">
        <f>IF(OR(R267="",S267="",S267=0),"",R267/S267)</f>
        <v/>
      </c>
      <c r="U267" s="20" t="str">
        <f>IF(R267="","",IF(R267&gt;0,"Ganadora",IF(R267&lt;0,"Perdedora","BE")))</f>
        <v/>
      </c>
      <c r="V267" s="23" t="n"/>
      <c r="W267" s="23" t="n"/>
      <c r="X267" s="23" t="n"/>
      <c r="Y267" s="23" t="n"/>
      <c r="Z267" s="23" t="n"/>
      <c r="AA267" s="23" t="n"/>
      <c r="AB267" s="30" t="n"/>
      <c r="AC267" s="1" t="n"/>
      <c r="AD267" s="1" t="str">
        <f>IF(G267="","",IFERROR(INDEX('Listas'!$N$6:$N$35,MATCH(G267,'Listas'!$M$6:$M$35,0)),""))</f>
        <v/>
      </c>
      <c r="AE267">
        <f>IF(G267="",1,IFERROR(INDEX('Listas'!$P$6:$P$35,MATCH(G267,'Listas'!$M$6:$M$35,0)),1))</f>
        <v>1</v>
      </c>
      <c r="AF267">
        <f>IF(H267="Compra",1,IF(H267="Venta",-1,0))</f>
        <v>0</v>
      </c>
      <c r="AG267">
        <f>IF(AND(D267&lt;&gt;"",ISNUMBER(R267)),1,0)</f>
        <v>0</v>
      </c>
      <c r="AH267">
        <f>IF(AG267=0,0,IF(OR('Panel'!$D$5="Todas las cuentas",'Panel'!$D$5="",F267='Panel'!$D$5),1,0))</f>
        <v>0</v>
      </c>
      <c r="AI267">
        <f>IF(AH267=0,0,IF(AND(OR('Panel'!$G$5="",D267&gt;='Panel'!$G$5),OR('Panel'!$J$5="",D267&lt;='Panel'!$J$5)),1,0))</f>
        <v>0</v>
      </c>
      <c r="AJ267">
        <f>IF(AI267=1,R267,0)</f>
        <v>0</v>
      </c>
      <c r="AK267" t="str">
        <f>IF(AI267=1,'Panel'!$AB$4+SUM($AJ$5:AJ267),"")</f>
        <v/>
      </c>
      <c r="AL267">
        <f>IF(AI267=0,N(AL266),IF(R267&lt;0,N(AL266)+1,0))</f>
        <v>1</v>
      </c>
      <c r="AM267">
        <f>IF(AI267=0,N(AM266),IF(R267&gt;0,N(AM266)+1,0))</f>
        <v>0</v>
      </c>
      <c r="AN267">
        <f>IF(AI267=1,MAX('Panel'!$AB$4,N(AN266),AK267),N(AN266))</f>
        <v>21371.061500000033</v>
      </c>
      <c r="AO267">
        <f>IF(AI267=1,AN267-AK267,0)</f>
        <v>0</v>
      </c>
      <c r="AP267">
        <f>IF(AND(AI267=1,AN267&gt;0),AO267/AN267,0)</f>
        <v>0</v>
      </c>
      <c r="AQ267" t="str">
        <f>IF(AI267=1,SUM($AI$5:AI267),"")</f>
        <v/>
      </c>
      <c r="AR267" t="str">
        <f>IF(AI267=1,IF(COUNTIFS($D$5:D267,D267,$AI$5:AI267,1)=1,SUMIFS($AJ$5:$AJ$504,$D$5:$D$504,D267),""),"")</f>
        <v/>
      </c>
      <c r="AS267" t="str">
        <f>IF(AG267=1,WEEKDAY(D267,2),"")</f>
        <v/>
      </c>
      <c r="AT267" s="31" t="str">
        <f>IF(AG267=1,DATE(YEAR(D267),MONTH(D267),1),"")</f>
        <v/>
      </c>
      <c r="AU267">
        <f>IF(AG267=0,0,IF(AND(OR('Prop challenge'!$D$7="",F267='Prop challenge'!$D$7),OR('Prop challenge'!$D$9="",D267&gt;='Prop challenge'!$D$9)),1,0))</f>
        <v>0</v>
      </c>
      <c r="AV267">
        <f>IF(AU267=1,IF(COUNTIFS($D$5:D267,D267,$AU$5:AU267,1)=1,1,0),0)</f>
        <v>0</v>
      </c>
      <c r="AW267" t="str">
        <f>IF(AV267=1,SUM($AV$5:AV267),"")</f>
        <v/>
      </c>
      <c r="AX267" t="str">
        <f>IF(AV267=1,SUMIFS($R$5:$R$504,$D$5:$D$504,D267,$AU$5:$AU$504,1),"")</f>
        <v/>
      </c>
    </row>
    <row r="268">
      <c r="A268" s="20" t="str">
        <f>IF(AG268=1,ROW()-4,"")</f>
        <v/>
      </c>
      <c r="B268" s="21" t="n"/>
      <c r="C268" s="22" t="n"/>
      <c r="D268" s="21" t="n"/>
      <c r="E268" s="22" t="n"/>
      <c r="F268" s="23" t="n"/>
      <c r="G268" s="23" t="n"/>
      <c r="H268" s="23" t="n"/>
      <c r="I268" s="24" t="n"/>
      <c r="J268" s="25" t="n"/>
      <c r="K268" s="25" t="n"/>
      <c r="L268" s="25" t="n"/>
      <c r="M268" s="25" t="n"/>
      <c r="N268" s="26" t="n"/>
      <c r="O268" s="26" t="n"/>
      <c r="P268" s="27" t="str">
        <f>IF(OR(J268="",K268="",I268="",AF268=0,AD268=""),"",(K268-J268)*AF268*I268*AD268*AE268)</f>
        <v/>
      </c>
      <c r="Q268" s="26" t="n"/>
      <c r="R268" s="28" t="str">
        <f>IF(Q268&lt;&gt;"",Q268,IF(P268="","",P268-N(N268)+N(O268)))</f>
        <v/>
      </c>
      <c r="S268" s="27" t="str">
        <f>IF(OR(L268="",J268="",I268="",AD268=""),"",ABS(J268-L268)*I268*AD268*AE268)</f>
        <v/>
      </c>
      <c r="T268" s="29" t="str">
        <f>IF(OR(R268="",S268="",S268=0),"",R268/S268)</f>
        <v/>
      </c>
      <c r="U268" s="20" t="str">
        <f>IF(R268="","",IF(R268&gt;0,"Ganadora",IF(R268&lt;0,"Perdedora","BE")))</f>
        <v/>
      </c>
      <c r="V268" s="23" t="n"/>
      <c r="W268" s="23" t="n"/>
      <c r="X268" s="23" t="n"/>
      <c r="Y268" s="23" t="n"/>
      <c r="Z268" s="23" t="n"/>
      <c r="AA268" s="23" t="n"/>
      <c r="AB268" s="30" t="n"/>
      <c r="AC268" s="1" t="n"/>
      <c r="AD268" s="1" t="str">
        <f>IF(G268="","",IFERROR(INDEX('Listas'!$N$6:$N$35,MATCH(G268,'Listas'!$M$6:$M$35,0)),""))</f>
        <v/>
      </c>
      <c r="AE268">
        <f>IF(G268="",1,IFERROR(INDEX('Listas'!$P$6:$P$35,MATCH(G268,'Listas'!$M$6:$M$35,0)),1))</f>
        <v>1</v>
      </c>
      <c r="AF268">
        <f>IF(H268="Compra",1,IF(H268="Venta",-1,0))</f>
        <v>0</v>
      </c>
      <c r="AG268">
        <f>IF(AND(D268&lt;&gt;"",ISNUMBER(R268)),1,0)</f>
        <v>0</v>
      </c>
      <c r="AH268">
        <f>IF(AG268=0,0,IF(OR('Panel'!$D$5="Todas las cuentas",'Panel'!$D$5="",F268='Panel'!$D$5),1,0))</f>
        <v>0</v>
      </c>
      <c r="AI268">
        <f>IF(AH268=0,0,IF(AND(OR('Panel'!$G$5="",D268&gt;='Panel'!$G$5),OR('Panel'!$J$5="",D268&lt;='Panel'!$J$5)),1,0))</f>
        <v>0</v>
      </c>
      <c r="AJ268">
        <f>IF(AI268=1,R268,0)</f>
        <v>0</v>
      </c>
      <c r="AK268" t="str">
        <f>IF(AI268=1,'Panel'!$AB$4+SUM($AJ$5:AJ268),"")</f>
        <v/>
      </c>
      <c r="AL268">
        <f>IF(AI268=0,N(AL267),IF(R268&lt;0,N(AL267)+1,0))</f>
        <v>1</v>
      </c>
      <c r="AM268">
        <f>IF(AI268=0,N(AM267),IF(R268&gt;0,N(AM267)+1,0))</f>
        <v>0</v>
      </c>
      <c r="AN268">
        <f>IF(AI268=1,MAX('Panel'!$AB$4,N(AN267),AK268),N(AN267))</f>
        <v>21371.061500000033</v>
      </c>
      <c r="AO268">
        <f>IF(AI268=1,AN268-AK268,0)</f>
        <v>0</v>
      </c>
      <c r="AP268">
        <f>IF(AND(AI268=1,AN268&gt;0),AO268/AN268,0)</f>
        <v>0</v>
      </c>
      <c r="AQ268" t="str">
        <f>IF(AI268=1,SUM($AI$5:AI268),"")</f>
        <v/>
      </c>
      <c r="AR268" t="str">
        <f>IF(AI268=1,IF(COUNTIFS($D$5:D268,D268,$AI$5:AI268,1)=1,SUMIFS($AJ$5:$AJ$504,$D$5:$D$504,D268),""),"")</f>
        <v/>
      </c>
      <c r="AS268" t="str">
        <f>IF(AG268=1,WEEKDAY(D268,2),"")</f>
        <v/>
      </c>
      <c r="AT268" s="31" t="str">
        <f>IF(AG268=1,DATE(YEAR(D268),MONTH(D268),1),"")</f>
        <v/>
      </c>
      <c r="AU268">
        <f>IF(AG268=0,0,IF(AND(OR('Prop challenge'!$D$7="",F268='Prop challenge'!$D$7),OR('Prop challenge'!$D$9="",D268&gt;='Prop challenge'!$D$9)),1,0))</f>
        <v>0</v>
      </c>
      <c r="AV268">
        <f>IF(AU268=1,IF(COUNTIFS($D$5:D268,D268,$AU$5:AU268,1)=1,1,0),0)</f>
        <v>0</v>
      </c>
      <c r="AW268" t="str">
        <f>IF(AV268=1,SUM($AV$5:AV268),"")</f>
        <v/>
      </c>
      <c r="AX268" t="str">
        <f>IF(AV268=1,SUMIFS($R$5:$R$504,$D$5:$D$504,D268,$AU$5:$AU$504,1),"")</f>
        <v/>
      </c>
    </row>
    <row r="269">
      <c r="A269" s="20" t="str">
        <f>IF(AG269=1,ROW()-4,"")</f>
        <v/>
      </c>
      <c r="B269" s="21" t="n"/>
      <c r="C269" s="22" t="n"/>
      <c r="D269" s="21" t="n"/>
      <c r="E269" s="22" t="n"/>
      <c r="F269" s="23" t="n"/>
      <c r="G269" s="23" t="n"/>
      <c r="H269" s="23" t="n"/>
      <c r="I269" s="24" t="n"/>
      <c r="J269" s="25" t="n"/>
      <c r="K269" s="25" t="n"/>
      <c r="L269" s="25" t="n"/>
      <c r="M269" s="25" t="n"/>
      <c r="N269" s="26" t="n"/>
      <c r="O269" s="26" t="n"/>
      <c r="P269" s="27" t="str">
        <f>IF(OR(J269="",K269="",I269="",AF269=0,AD269=""),"",(K269-J269)*AF269*I269*AD269*AE269)</f>
        <v/>
      </c>
      <c r="Q269" s="26" t="n"/>
      <c r="R269" s="28" t="str">
        <f>IF(Q269&lt;&gt;"",Q269,IF(P269="","",P269-N(N269)+N(O269)))</f>
        <v/>
      </c>
      <c r="S269" s="27" t="str">
        <f>IF(OR(L269="",J269="",I269="",AD269=""),"",ABS(J269-L269)*I269*AD269*AE269)</f>
        <v/>
      </c>
      <c r="T269" s="29" t="str">
        <f>IF(OR(R269="",S269="",S269=0),"",R269/S269)</f>
        <v/>
      </c>
      <c r="U269" s="20" t="str">
        <f>IF(R269="","",IF(R269&gt;0,"Ganadora",IF(R269&lt;0,"Perdedora","BE")))</f>
        <v/>
      </c>
      <c r="V269" s="23" t="n"/>
      <c r="W269" s="23" t="n"/>
      <c r="X269" s="23" t="n"/>
      <c r="Y269" s="23" t="n"/>
      <c r="Z269" s="23" t="n"/>
      <c r="AA269" s="23" t="n"/>
      <c r="AB269" s="30" t="n"/>
      <c r="AC269" s="1" t="n"/>
      <c r="AD269" s="1" t="str">
        <f>IF(G269="","",IFERROR(INDEX('Listas'!$N$6:$N$35,MATCH(G269,'Listas'!$M$6:$M$35,0)),""))</f>
        <v/>
      </c>
      <c r="AE269">
        <f>IF(G269="",1,IFERROR(INDEX('Listas'!$P$6:$P$35,MATCH(G269,'Listas'!$M$6:$M$35,0)),1))</f>
        <v>1</v>
      </c>
      <c r="AF269">
        <f>IF(H269="Compra",1,IF(H269="Venta",-1,0))</f>
        <v>0</v>
      </c>
      <c r="AG269">
        <f>IF(AND(D269&lt;&gt;"",ISNUMBER(R269)),1,0)</f>
        <v>0</v>
      </c>
      <c r="AH269">
        <f>IF(AG269=0,0,IF(OR('Panel'!$D$5="Todas las cuentas",'Panel'!$D$5="",F269='Panel'!$D$5),1,0))</f>
        <v>0</v>
      </c>
      <c r="AI269">
        <f>IF(AH269=0,0,IF(AND(OR('Panel'!$G$5="",D269&gt;='Panel'!$G$5),OR('Panel'!$J$5="",D269&lt;='Panel'!$J$5)),1,0))</f>
        <v>0</v>
      </c>
      <c r="AJ269">
        <f>IF(AI269=1,R269,0)</f>
        <v>0</v>
      </c>
      <c r="AK269" t="str">
        <f>IF(AI269=1,'Panel'!$AB$4+SUM($AJ$5:AJ269),"")</f>
        <v/>
      </c>
      <c r="AL269">
        <f>IF(AI269=0,N(AL268),IF(R269&lt;0,N(AL268)+1,0))</f>
        <v>1</v>
      </c>
      <c r="AM269">
        <f>IF(AI269=0,N(AM268),IF(R269&gt;0,N(AM268)+1,0))</f>
        <v>0</v>
      </c>
      <c r="AN269">
        <f>IF(AI269=1,MAX('Panel'!$AB$4,N(AN268),AK269),N(AN268))</f>
        <v>21371.061500000033</v>
      </c>
      <c r="AO269">
        <f>IF(AI269=1,AN269-AK269,0)</f>
        <v>0</v>
      </c>
      <c r="AP269">
        <f>IF(AND(AI269=1,AN269&gt;0),AO269/AN269,0)</f>
        <v>0</v>
      </c>
      <c r="AQ269" t="str">
        <f>IF(AI269=1,SUM($AI$5:AI269),"")</f>
        <v/>
      </c>
      <c r="AR269" t="str">
        <f>IF(AI269=1,IF(COUNTIFS($D$5:D269,D269,$AI$5:AI269,1)=1,SUMIFS($AJ$5:$AJ$504,$D$5:$D$504,D269),""),"")</f>
        <v/>
      </c>
      <c r="AS269" t="str">
        <f>IF(AG269=1,WEEKDAY(D269,2),"")</f>
        <v/>
      </c>
      <c r="AT269" s="31" t="str">
        <f>IF(AG269=1,DATE(YEAR(D269),MONTH(D269),1),"")</f>
        <v/>
      </c>
      <c r="AU269">
        <f>IF(AG269=0,0,IF(AND(OR('Prop challenge'!$D$7="",F269='Prop challenge'!$D$7),OR('Prop challenge'!$D$9="",D269&gt;='Prop challenge'!$D$9)),1,0))</f>
        <v>0</v>
      </c>
      <c r="AV269">
        <f>IF(AU269=1,IF(COUNTIFS($D$5:D269,D269,$AU$5:AU269,1)=1,1,0),0)</f>
        <v>0</v>
      </c>
      <c r="AW269" t="str">
        <f>IF(AV269=1,SUM($AV$5:AV269),"")</f>
        <v/>
      </c>
      <c r="AX269" t="str">
        <f>IF(AV269=1,SUMIFS($R$5:$R$504,$D$5:$D$504,D269,$AU$5:$AU$504,1),"")</f>
        <v/>
      </c>
    </row>
    <row r="270">
      <c r="A270" s="20" t="str">
        <f>IF(AG270=1,ROW()-4,"")</f>
        <v/>
      </c>
      <c r="B270" s="21" t="n"/>
      <c r="C270" s="22" t="n"/>
      <c r="D270" s="21" t="n"/>
      <c r="E270" s="22" t="n"/>
      <c r="F270" s="23" t="n"/>
      <c r="G270" s="23" t="n"/>
      <c r="H270" s="23" t="n"/>
      <c r="I270" s="24" t="n"/>
      <c r="J270" s="25" t="n"/>
      <c r="K270" s="25" t="n"/>
      <c r="L270" s="25" t="n"/>
      <c r="M270" s="25" t="n"/>
      <c r="N270" s="26" t="n"/>
      <c r="O270" s="26" t="n"/>
      <c r="P270" s="27" t="str">
        <f>IF(OR(J270="",K270="",I270="",AF270=0,AD270=""),"",(K270-J270)*AF270*I270*AD270*AE270)</f>
        <v/>
      </c>
      <c r="Q270" s="26" t="n"/>
      <c r="R270" s="28" t="str">
        <f>IF(Q270&lt;&gt;"",Q270,IF(P270="","",P270-N(N270)+N(O270)))</f>
        <v/>
      </c>
      <c r="S270" s="27" t="str">
        <f>IF(OR(L270="",J270="",I270="",AD270=""),"",ABS(J270-L270)*I270*AD270*AE270)</f>
        <v/>
      </c>
      <c r="T270" s="29" t="str">
        <f>IF(OR(R270="",S270="",S270=0),"",R270/S270)</f>
        <v/>
      </c>
      <c r="U270" s="20" t="str">
        <f>IF(R270="","",IF(R270&gt;0,"Ganadora",IF(R270&lt;0,"Perdedora","BE")))</f>
        <v/>
      </c>
      <c r="V270" s="23" t="n"/>
      <c r="W270" s="23" t="n"/>
      <c r="X270" s="23" t="n"/>
      <c r="Y270" s="23" t="n"/>
      <c r="Z270" s="23" t="n"/>
      <c r="AA270" s="23" t="n"/>
      <c r="AB270" s="30" t="n"/>
      <c r="AC270" s="1" t="n"/>
      <c r="AD270" s="1" t="str">
        <f>IF(G270="","",IFERROR(INDEX('Listas'!$N$6:$N$35,MATCH(G270,'Listas'!$M$6:$M$35,0)),""))</f>
        <v/>
      </c>
      <c r="AE270">
        <f>IF(G270="",1,IFERROR(INDEX('Listas'!$P$6:$P$35,MATCH(G270,'Listas'!$M$6:$M$35,0)),1))</f>
        <v>1</v>
      </c>
      <c r="AF270">
        <f>IF(H270="Compra",1,IF(H270="Venta",-1,0))</f>
        <v>0</v>
      </c>
      <c r="AG270">
        <f>IF(AND(D270&lt;&gt;"",ISNUMBER(R270)),1,0)</f>
        <v>0</v>
      </c>
      <c r="AH270">
        <f>IF(AG270=0,0,IF(OR('Panel'!$D$5="Todas las cuentas",'Panel'!$D$5="",F270='Panel'!$D$5),1,0))</f>
        <v>0</v>
      </c>
      <c r="AI270">
        <f>IF(AH270=0,0,IF(AND(OR('Panel'!$G$5="",D270&gt;='Panel'!$G$5),OR('Panel'!$J$5="",D270&lt;='Panel'!$J$5)),1,0))</f>
        <v>0</v>
      </c>
      <c r="AJ270">
        <f>IF(AI270=1,R270,0)</f>
        <v>0</v>
      </c>
      <c r="AK270" t="str">
        <f>IF(AI270=1,'Panel'!$AB$4+SUM($AJ$5:AJ270),"")</f>
        <v/>
      </c>
      <c r="AL270">
        <f>IF(AI270=0,N(AL269),IF(R270&lt;0,N(AL269)+1,0))</f>
        <v>1</v>
      </c>
      <c r="AM270">
        <f>IF(AI270=0,N(AM269),IF(R270&gt;0,N(AM269)+1,0))</f>
        <v>0</v>
      </c>
      <c r="AN270">
        <f>IF(AI270=1,MAX('Panel'!$AB$4,N(AN269),AK270),N(AN269))</f>
        <v>21371.061500000033</v>
      </c>
      <c r="AO270">
        <f>IF(AI270=1,AN270-AK270,0)</f>
        <v>0</v>
      </c>
      <c r="AP270">
        <f>IF(AND(AI270=1,AN270&gt;0),AO270/AN270,0)</f>
        <v>0</v>
      </c>
      <c r="AQ270" t="str">
        <f>IF(AI270=1,SUM($AI$5:AI270),"")</f>
        <v/>
      </c>
      <c r="AR270" t="str">
        <f>IF(AI270=1,IF(COUNTIFS($D$5:D270,D270,$AI$5:AI270,1)=1,SUMIFS($AJ$5:$AJ$504,$D$5:$D$504,D270),""),"")</f>
        <v/>
      </c>
      <c r="AS270" t="str">
        <f>IF(AG270=1,WEEKDAY(D270,2),"")</f>
        <v/>
      </c>
      <c r="AT270" s="31" t="str">
        <f>IF(AG270=1,DATE(YEAR(D270),MONTH(D270),1),"")</f>
        <v/>
      </c>
      <c r="AU270">
        <f>IF(AG270=0,0,IF(AND(OR('Prop challenge'!$D$7="",F270='Prop challenge'!$D$7),OR('Prop challenge'!$D$9="",D270&gt;='Prop challenge'!$D$9)),1,0))</f>
        <v>0</v>
      </c>
      <c r="AV270">
        <f>IF(AU270=1,IF(COUNTIFS($D$5:D270,D270,$AU$5:AU270,1)=1,1,0),0)</f>
        <v>0</v>
      </c>
      <c r="AW270" t="str">
        <f>IF(AV270=1,SUM($AV$5:AV270),"")</f>
        <v/>
      </c>
      <c r="AX270" t="str">
        <f>IF(AV270=1,SUMIFS($R$5:$R$504,$D$5:$D$504,D270,$AU$5:$AU$504,1),"")</f>
        <v/>
      </c>
    </row>
    <row r="271">
      <c r="A271" s="20" t="str">
        <f>IF(AG271=1,ROW()-4,"")</f>
        <v/>
      </c>
      <c r="B271" s="21" t="n"/>
      <c r="C271" s="22" t="n"/>
      <c r="D271" s="21" t="n"/>
      <c r="E271" s="22" t="n"/>
      <c r="F271" s="23" t="n"/>
      <c r="G271" s="23" t="n"/>
      <c r="H271" s="23" t="n"/>
      <c r="I271" s="24" t="n"/>
      <c r="J271" s="25" t="n"/>
      <c r="K271" s="25" t="n"/>
      <c r="L271" s="25" t="n"/>
      <c r="M271" s="25" t="n"/>
      <c r="N271" s="26" t="n"/>
      <c r="O271" s="26" t="n"/>
      <c r="P271" s="27" t="str">
        <f>IF(OR(J271="",K271="",I271="",AF271=0,AD271=""),"",(K271-J271)*AF271*I271*AD271*AE271)</f>
        <v/>
      </c>
      <c r="Q271" s="26" t="n"/>
      <c r="R271" s="28" t="str">
        <f>IF(Q271&lt;&gt;"",Q271,IF(P271="","",P271-N(N271)+N(O271)))</f>
        <v/>
      </c>
      <c r="S271" s="27" t="str">
        <f>IF(OR(L271="",J271="",I271="",AD271=""),"",ABS(J271-L271)*I271*AD271*AE271)</f>
        <v/>
      </c>
      <c r="T271" s="29" t="str">
        <f>IF(OR(R271="",S271="",S271=0),"",R271/S271)</f>
        <v/>
      </c>
      <c r="U271" s="20" t="str">
        <f>IF(R271="","",IF(R271&gt;0,"Ganadora",IF(R271&lt;0,"Perdedora","BE")))</f>
        <v/>
      </c>
      <c r="V271" s="23" t="n"/>
      <c r="W271" s="23" t="n"/>
      <c r="X271" s="23" t="n"/>
      <c r="Y271" s="23" t="n"/>
      <c r="Z271" s="23" t="n"/>
      <c r="AA271" s="23" t="n"/>
      <c r="AB271" s="30" t="n"/>
      <c r="AC271" s="1" t="n"/>
      <c r="AD271" s="1" t="str">
        <f>IF(G271="","",IFERROR(INDEX('Listas'!$N$6:$N$35,MATCH(G271,'Listas'!$M$6:$M$35,0)),""))</f>
        <v/>
      </c>
      <c r="AE271">
        <f>IF(G271="",1,IFERROR(INDEX('Listas'!$P$6:$P$35,MATCH(G271,'Listas'!$M$6:$M$35,0)),1))</f>
        <v>1</v>
      </c>
      <c r="AF271">
        <f>IF(H271="Compra",1,IF(H271="Venta",-1,0))</f>
        <v>0</v>
      </c>
      <c r="AG271">
        <f>IF(AND(D271&lt;&gt;"",ISNUMBER(R271)),1,0)</f>
        <v>0</v>
      </c>
      <c r="AH271">
        <f>IF(AG271=0,0,IF(OR('Panel'!$D$5="Todas las cuentas",'Panel'!$D$5="",F271='Panel'!$D$5),1,0))</f>
        <v>0</v>
      </c>
      <c r="AI271">
        <f>IF(AH271=0,0,IF(AND(OR('Panel'!$G$5="",D271&gt;='Panel'!$G$5),OR('Panel'!$J$5="",D271&lt;='Panel'!$J$5)),1,0))</f>
        <v>0</v>
      </c>
      <c r="AJ271">
        <f>IF(AI271=1,R271,0)</f>
        <v>0</v>
      </c>
      <c r="AK271" t="str">
        <f>IF(AI271=1,'Panel'!$AB$4+SUM($AJ$5:AJ271),"")</f>
        <v/>
      </c>
      <c r="AL271">
        <f>IF(AI271=0,N(AL270),IF(R271&lt;0,N(AL270)+1,0))</f>
        <v>1</v>
      </c>
      <c r="AM271">
        <f>IF(AI271=0,N(AM270),IF(R271&gt;0,N(AM270)+1,0))</f>
        <v>0</v>
      </c>
      <c r="AN271">
        <f>IF(AI271=1,MAX('Panel'!$AB$4,N(AN270),AK271),N(AN270))</f>
        <v>21371.061500000033</v>
      </c>
      <c r="AO271">
        <f>IF(AI271=1,AN271-AK271,0)</f>
        <v>0</v>
      </c>
      <c r="AP271">
        <f>IF(AND(AI271=1,AN271&gt;0),AO271/AN271,0)</f>
        <v>0</v>
      </c>
      <c r="AQ271" t="str">
        <f>IF(AI271=1,SUM($AI$5:AI271),"")</f>
        <v/>
      </c>
      <c r="AR271" t="str">
        <f>IF(AI271=1,IF(COUNTIFS($D$5:D271,D271,$AI$5:AI271,1)=1,SUMIFS($AJ$5:$AJ$504,$D$5:$D$504,D271),""),"")</f>
        <v/>
      </c>
      <c r="AS271" t="str">
        <f>IF(AG271=1,WEEKDAY(D271,2),"")</f>
        <v/>
      </c>
      <c r="AT271" s="31" t="str">
        <f>IF(AG271=1,DATE(YEAR(D271),MONTH(D271),1),"")</f>
        <v/>
      </c>
      <c r="AU271">
        <f>IF(AG271=0,0,IF(AND(OR('Prop challenge'!$D$7="",F271='Prop challenge'!$D$7),OR('Prop challenge'!$D$9="",D271&gt;='Prop challenge'!$D$9)),1,0))</f>
        <v>0</v>
      </c>
      <c r="AV271">
        <f>IF(AU271=1,IF(COUNTIFS($D$5:D271,D271,$AU$5:AU271,1)=1,1,0),0)</f>
        <v>0</v>
      </c>
      <c r="AW271" t="str">
        <f>IF(AV271=1,SUM($AV$5:AV271),"")</f>
        <v/>
      </c>
      <c r="AX271" t="str">
        <f>IF(AV271=1,SUMIFS($R$5:$R$504,$D$5:$D$504,D271,$AU$5:$AU$504,1),"")</f>
        <v/>
      </c>
    </row>
    <row r="272">
      <c r="A272" s="20" t="str">
        <f>IF(AG272=1,ROW()-4,"")</f>
        <v/>
      </c>
      <c r="B272" s="21" t="n"/>
      <c r="C272" s="22" t="n"/>
      <c r="D272" s="21" t="n"/>
      <c r="E272" s="22" t="n"/>
      <c r="F272" s="23" t="n"/>
      <c r="G272" s="23" t="n"/>
      <c r="H272" s="23" t="n"/>
      <c r="I272" s="24" t="n"/>
      <c r="J272" s="25" t="n"/>
      <c r="K272" s="25" t="n"/>
      <c r="L272" s="25" t="n"/>
      <c r="M272" s="25" t="n"/>
      <c r="N272" s="26" t="n"/>
      <c r="O272" s="26" t="n"/>
      <c r="P272" s="27" t="str">
        <f>IF(OR(J272="",K272="",I272="",AF272=0,AD272=""),"",(K272-J272)*AF272*I272*AD272*AE272)</f>
        <v/>
      </c>
      <c r="Q272" s="26" t="n"/>
      <c r="R272" s="28" t="str">
        <f>IF(Q272&lt;&gt;"",Q272,IF(P272="","",P272-N(N272)+N(O272)))</f>
        <v/>
      </c>
      <c r="S272" s="27" t="str">
        <f>IF(OR(L272="",J272="",I272="",AD272=""),"",ABS(J272-L272)*I272*AD272*AE272)</f>
        <v/>
      </c>
      <c r="T272" s="29" t="str">
        <f>IF(OR(R272="",S272="",S272=0),"",R272/S272)</f>
        <v/>
      </c>
      <c r="U272" s="20" t="str">
        <f>IF(R272="","",IF(R272&gt;0,"Ganadora",IF(R272&lt;0,"Perdedora","BE")))</f>
        <v/>
      </c>
      <c r="V272" s="23" t="n"/>
      <c r="W272" s="23" t="n"/>
      <c r="X272" s="23" t="n"/>
      <c r="Y272" s="23" t="n"/>
      <c r="Z272" s="23" t="n"/>
      <c r="AA272" s="23" t="n"/>
      <c r="AB272" s="30" t="n"/>
      <c r="AC272" s="1" t="n"/>
      <c r="AD272" s="1" t="str">
        <f>IF(G272="","",IFERROR(INDEX('Listas'!$N$6:$N$35,MATCH(G272,'Listas'!$M$6:$M$35,0)),""))</f>
        <v/>
      </c>
      <c r="AE272">
        <f>IF(G272="",1,IFERROR(INDEX('Listas'!$P$6:$P$35,MATCH(G272,'Listas'!$M$6:$M$35,0)),1))</f>
        <v>1</v>
      </c>
      <c r="AF272">
        <f>IF(H272="Compra",1,IF(H272="Venta",-1,0))</f>
        <v>0</v>
      </c>
      <c r="AG272">
        <f>IF(AND(D272&lt;&gt;"",ISNUMBER(R272)),1,0)</f>
        <v>0</v>
      </c>
      <c r="AH272">
        <f>IF(AG272=0,0,IF(OR('Panel'!$D$5="Todas las cuentas",'Panel'!$D$5="",F272='Panel'!$D$5),1,0))</f>
        <v>0</v>
      </c>
      <c r="AI272">
        <f>IF(AH272=0,0,IF(AND(OR('Panel'!$G$5="",D272&gt;='Panel'!$G$5),OR('Panel'!$J$5="",D272&lt;='Panel'!$J$5)),1,0))</f>
        <v>0</v>
      </c>
      <c r="AJ272">
        <f>IF(AI272=1,R272,0)</f>
        <v>0</v>
      </c>
      <c r="AK272" t="str">
        <f>IF(AI272=1,'Panel'!$AB$4+SUM($AJ$5:AJ272),"")</f>
        <v/>
      </c>
      <c r="AL272">
        <f>IF(AI272=0,N(AL271),IF(R272&lt;0,N(AL271)+1,0))</f>
        <v>1</v>
      </c>
      <c r="AM272">
        <f>IF(AI272=0,N(AM271),IF(R272&gt;0,N(AM271)+1,0))</f>
        <v>0</v>
      </c>
      <c r="AN272">
        <f>IF(AI272=1,MAX('Panel'!$AB$4,N(AN271),AK272),N(AN271))</f>
        <v>21371.061500000033</v>
      </c>
      <c r="AO272">
        <f>IF(AI272=1,AN272-AK272,0)</f>
        <v>0</v>
      </c>
      <c r="AP272">
        <f>IF(AND(AI272=1,AN272&gt;0),AO272/AN272,0)</f>
        <v>0</v>
      </c>
      <c r="AQ272" t="str">
        <f>IF(AI272=1,SUM($AI$5:AI272),"")</f>
        <v/>
      </c>
      <c r="AR272" t="str">
        <f>IF(AI272=1,IF(COUNTIFS($D$5:D272,D272,$AI$5:AI272,1)=1,SUMIFS($AJ$5:$AJ$504,$D$5:$D$504,D272),""),"")</f>
        <v/>
      </c>
      <c r="AS272" t="str">
        <f>IF(AG272=1,WEEKDAY(D272,2),"")</f>
        <v/>
      </c>
      <c r="AT272" s="31" t="str">
        <f>IF(AG272=1,DATE(YEAR(D272),MONTH(D272),1),"")</f>
        <v/>
      </c>
      <c r="AU272">
        <f>IF(AG272=0,0,IF(AND(OR('Prop challenge'!$D$7="",F272='Prop challenge'!$D$7),OR('Prop challenge'!$D$9="",D272&gt;='Prop challenge'!$D$9)),1,0))</f>
        <v>0</v>
      </c>
      <c r="AV272">
        <f>IF(AU272=1,IF(COUNTIFS($D$5:D272,D272,$AU$5:AU272,1)=1,1,0),0)</f>
        <v>0</v>
      </c>
      <c r="AW272" t="str">
        <f>IF(AV272=1,SUM($AV$5:AV272),"")</f>
        <v/>
      </c>
      <c r="AX272" t="str">
        <f>IF(AV272=1,SUMIFS($R$5:$R$504,$D$5:$D$504,D272,$AU$5:$AU$504,1),"")</f>
        <v/>
      </c>
    </row>
    <row r="273">
      <c r="A273" s="20" t="str">
        <f>IF(AG273=1,ROW()-4,"")</f>
        <v/>
      </c>
      <c r="B273" s="21" t="n"/>
      <c r="C273" s="22" t="n"/>
      <c r="D273" s="21" t="n"/>
      <c r="E273" s="22" t="n"/>
      <c r="F273" s="23" t="n"/>
      <c r="G273" s="23" t="n"/>
      <c r="H273" s="23" t="n"/>
      <c r="I273" s="24" t="n"/>
      <c r="J273" s="25" t="n"/>
      <c r="K273" s="25" t="n"/>
      <c r="L273" s="25" t="n"/>
      <c r="M273" s="25" t="n"/>
      <c r="N273" s="26" t="n"/>
      <c r="O273" s="26" t="n"/>
      <c r="P273" s="27" t="str">
        <f>IF(OR(J273="",K273="",I273="",AF273=0,AD273=""),"",(K273-J273)*AF273*I273*AD273*AE273)</f>
        <v/>
      </c>
      <c r="Q273" s="26" t="n"/>
      <c r="R273" s="28" t="str">
        <f>IF(Q273&lt;&gt;"",Q273,IF(P273="","",P273-N(N273)+N(O273)))</f>
        <v/>
      </c>
      <c r="S273" s="27" t="str">
        <f>IF(OR(L273="",J273="",I273="",AD273=""),"",ABS(J273-L273)*I273*AD273*AE273)</f>
        <v/>
      </c>
      <c r="T273" s="29" t="str">
        <f>IF(OR(R273="",S273="",S273=0),"",R273/S273)</f>
        <v/>
      </c>
      <c r="U273" s="20" t="str">
        <f>IF(R273="","",IF(R273&gt;0,"Ganadora",IF(R273&lt;0,"Perdedora","BE")))</f>
        <v/>
      </c>
      <c r="V273" s="23" t="n"/>
      <c r="W273" s="23" t="n"/>
      <c r="X273" s="23" t="n"/>
      <c r="Y273" s="23" t="n"/>
      <c r="Z273" s="23" t="n"/>
      <c r="AA273" s="23" t="n"/>
      <c r="AB273" s="30" t="n"/>
      <c r="AC273" s="1" t="n"/>
      <c r="AD273" s="1" t="str">
        <f>IF(G273="","",IFERROR(INDEX('Listas'!$N$6:$N$35,MATCH(G273,'Listas'!$M$6:$M$35,0)),""))</f>
        <v/>
      </c>
      <c r="AE273">
        <f>IF(G273="",1,IFERROR(INDEX('Listas'!$P$6:$P$35,MATCH(G273,'Listas'!$M$6:$M$35,0)),1))</f>
        <v>1</v>
      </c>
      <c r="AF273">
        <f>IF(H273="Compra",1,IF(H273="Venta",-1,0))</f>
        <v>0</v>
      </c>
      <c r="AG273">
        <f>IF(AND(D273&lt;&gt;"",ISNUMBER(R273)),1,0)</f>
        <v>0</v>
      </c>
      <c r="AH273">
        <f>IF(AG273=0,0,IF(OR('Panel'!$D$5="Todas las cuentas",'Panel'!$D$5="",F273='Panel'!$D$5),1,0))</f>
        <v>0</v>
      </c>
      <c r="AI273">
        <f>IF(AH273=0,0,IF(AND(OR('Panel'!$G$5="",D273&gt;='Panel'!$G$5),OR('Panel'!$J$5="",D273&lt;='Panel'!$J$5)),1,0))</f>
        <v>0</v>
      </c>
      <c r="AJ273">
        <f>IF(AI273=1,R273,0)</f>
        <v>0</v>
      </c>
      <c r="AK273" t="str">
        <f>IF(AI273=1,'Panel'!$AB$4+SUM($AJ$5:AJ273),"")</f>
        <v/>
      </c>
      <c r="AL273">
        <f>IF(AI273=0,N(AL272),IF(R273&lt;0,N(AL272)+1,0))</f>
        <v>1</v>
      </c>
      <c r="AM273">
        <f>IF(AI273=0,N(AM272),IF(R273&gt;0,N(AM272)+1,0))</f>
        <v>0</v>
      </c>
      <c r="AN273">
        <f>IF(AI273=1,MAX('Panel'!$AB$4,N(AN272),AK273),N(AN272))</f>
        <v>21371.061500000033</v>
      </c>
      <c r="AO273">
        <f>IF(AI273=1,AN273-AK273,0)</f>
        <v>0</v>
      </c>
      <c r="AP273">
        <f>IF(AND(AI273=1,AN273&gt;0),AO273/AN273,0)</f>
        <v>0</v>
      </c>
      <c r="AQ273" t="str">
        <f>IF(AI273=1,SUM($AI$5:AI273),"")</f>
        <v/>
      </c>
      <c r="AR273" t="str">
        <f>IF(AI273=1,IF(COUNTIFS($D$5:D273,D273,$AI$5:AI273,1)=1,SUMIFS($AJ$5:$AJ$504,$D$5:$D$504,D273),""),"")</f>
        <v/>
      </c>
      <c r="AS273" t="str">
        <f>IF(AG273=1,WEEKDAY(D273,2),"")</f>
        <v/>
      </c>
      <c r="AT273" s="31" t="str">
        <f>IF(AG273=1,DATE(YEAR(D273),MONTH(D273),1),"")</f>
        <v/>
      </c>
      <c r="AU273">
        <f>IF(AG273=0,0,IF(AND(OR('Prop challenge'!$D$7="",F273='Prop challenge'!$D$7),OR('Prop challenge'!$D$9="",D273&gt;='Prop challenge'!$D$9)),1,0))</f>
        <v>0</v>
      </c>
      <c r="AV273">
        <f>IF(AU273=1,IF(COUNTIFS($D$5:D273,D273,$AU$5:AU273,1)=1,1,0),0)</f>
        <v>0</v>
      </c>
      <c r="AW273" t="str">
        <f>IF(AV273=1,SUM($AV$5:AV273),"")</f>
        <v/>
      </c>
      <c r="AX273" t="str">
        <f>IF(AV273=1,SUMIFS($R$5:$R$504,$D$5:$D$504,D273,$AU$5:$AU$504,1),"")</f>
        <v/>
      </c>
    </row>
    <row r="274">
      <c r="A274" s="20" t="str">
        <f>IF(AG274=1,ROW()-4,"")</f>
        <v/>
      </c>
      <c r="B274" s="21" t="n"/>
      <c r="C274" s="22" t="n"/>
      <c r="D274" s="21" t="n"/>
      <c r="E274" s="22" t="n"/>
      <c r="F274" s="23" t="n"/>
      <c r="G274" s="23" t="n"/>
      <c r="H274" s="23" t="n"/>
      <c r="I274" s="24" t="n"/>
      <c r="J274" s="25" t="n"/>
      <c r="K274" s="25" t="n"/>
      <c r="L274" s="25" t="n"/>
      <c r="M274" s="25" t="n"/>
      <c r="N274" s="26" t="n"/>
      <c r="O274" s="26" t="n"/>
      <c r="P274" s="27" t="str">
        <f>IF(OR(J274="",K274="",I274="",AF274=0,AD274=""),"",(K274-J274)*AF274*I274*AD274*AE274)</f>
        <v/>
      </c>
      <c r="Q274" s="26" t="n"/>
      <c r="R274" s="28" t="str">
        <f>IF(Q274&lt;&gt;"",Q274,IF(P274="","",P274-N(N274)+N(O274)))</f>
        <v/>
      </c>
      <c r="S274" s="27" t="str">
        <f>IF(OR(L274="",J274="",I274="",AD274=""),"",ABS(J274-L274)*I274*AD274*AE274)</f>
        <v/>
      </c>
      <c r="T274" s="29" t="str">
        <f>IF(OR(R274="",S274="",S274=0),"",R274/S274)</f>
        <v/>
      </c>
      <c r="U274" s="20" t="str">
        <f>IF(R274="","",IF(R274&gt;0,"Ganadora",IF(R274&lt;0,"Perdedora","BE")))</f>
        <v/>
      </c>
      <c r="V274" s="23" t="n"/>
      <c r="W274" s="23" t="n"/>
      <c r="X274" s="23" t="n"/>
      <c r="Y274" s="23" t="n"/>
      <c r="Z274" s="23" t="n"/>
      <c r="AA274" s="23" t="n"/>
      <c r="AB274" s="30" t="n"/>
      <c r="AC274" s="1" t="n"/>
      <c r="AD274" s="1" t="str">
        <f>IF(G274="","",IFERROR(INDEX('Listas'!$N$6:$N$35,MATCH(G274,'Listas'!$M$6:$M$35,0)),""))</f>
        <v/>
      </c>
      <c r="AE274">
        <f>IF(G274="",1,IFERROR(INDEX('Listas'!$P$6:$P$35,MATCH(G274,'Listas'!$M$6:$M$35,0)),1))</f>
        <v>1</v>
      </c>
      <c r="AF274">
        <f>IF(H274="Compra",1,IF(H274="Venta",-1,0))</f>
        <v>0</v>
      </c>
      <c r="AG274">
        <f>IF(AND(D274&lt;&gt;"",ISNUMBER(R274)),1,0)</f>
        <v>0</v>
      </c>
      <c r="AH274">
        <f>IF(AG274=0,0,IF(OR('Panel'!$D$5="Todas las cuentas",'Panel'!$D$5="",F274='Panel'!$D$5),1,0))</f>
        <v>0</v>
      </c>
      <c r="AI274">
        <f>IF(AH274=0,0,IF(AND(OR('Panel'!$G$5="",D274&gt;='Panel'!$G$5),OR('Panel'!$J$5="",D274&lt;='Panel'!$J$5)),1,0))</f>
        <v>0</v>
      </c>
      <c r="AJ274">
        <f>IF(AI274=1,R274,0)</f>
        <v>0</v>
      </c>
      <c r="AK274" t="str">
        <f>IF(AI274=1,'Panel'!$AB$4+SUM($AJ$5:AJ274),"")</f>
        <v/>
      </c>
      <c r="AL274">
        <f>IF(AI274=0,N(AL273),IF(R274&lt;0,N(AL273)+1,0))</f>
        <v>1</v>
      </c>
      <c r="AM274">
        <f>IF(AI274=0,N(AM273),IF(R274&gt;0,N(AM273)+1,0))</f>
        <v>0</v>
      </c>
      <c r="AN274">
        <f>IF(AI274=1,MAX('Panel'!$AB$4,N(AN273),AK274),N(AN273))</f>
        <v>21371.061500000033</v>
      </c>
      <c r="AO274">
        <f>IF(AI274=1,AN274-AK274,0)</f>
        <v>0</v>
      </c>
      <c r="AP274">
        <f>IF(AND(AI274=1,AN274&gt;0),AO274/AN274,0)</f>
        <v>0</v>
      </c>
      <c r="AQ274" t="str">
        <f>IF(AI274=1,SUM($AI$5:AI274),"")</f>
        <v/>
      </c>
      <c r="AR274" t="str">
        <f>IF(AI274=1,IF(COUNTIFS($D$5:D274,D274,$AI$5:AI274,1)=1,SUMIFS($AJ$5:$AJ$504,$D$5:$D$504,D274),""),"")</f>
        <v/>
      </c>
      <c r="AS274" t="str">
        <f>IF(AG274=1,WEEKDAY(D274,2),"")</f>
        <v/>
      </c>
      <c r="AT274" s="31" t="str">
        <f>IF(AG274=1,DATE(YEAR(D274),MONTH(D274),1),"")</f>
        <v/>
      </c>
      <c r="AU274">
        <f>IF(AG274=0,0,IF(AND(OR('Prop challenge'!$D$7="",F274='Prop challenge'!$D$7),OR('Prop challenge'!$D$9="",D274&gt;='Prop challenge'!$D$9)),1,0))</f>
        <v>0</v>
      </c>
      <c r="AV274">
        <f>IF(AU274=1,IF(COUNTIFS($D$5:D274,D274,$AU$5:AU274,1)=1,1,0),0)</f>
        <v>0</v>
      </c>
      <c r="AW274" t="str">
        <f>IF(AV274=1,SUM($AV$5:AV274),"")</f>
        <v/>
      </c>
      <c r="AX274" t="str">
        <f>IF(AV274=1,SUMIFS($R$5:$R$504,$D$5:$D$504,D274,$AU$5:$AU$504,1),"")</f>
        <v/>
      </c>
    </row>
    <row r="275">
      <c r="A275" s="20" t="str">
        <f>IF(AG275=1,ROW()-4,"")</f>
        <v/>
      </c>
      <c r="B275" s="21" t="n"/>
      <c r="C275" s="22" t="n"/>
      <c r="D275" s="21" t="n"/>
      <c r="E275" s="22" t="n"/>
      <c r="F275" s="23" t="n"/>
      <c r="G275" s="23" t="n"/>
      <c r="H275" s="23" t="n"/>
      <c r="I275" s="24" t="n"/>
      <c r="J275" s="25" t="n"/>
      <c r="K275" s="25" t="n"/>
      <c r="L275" s="25" t="n"/>
      <c r="M275" s="25" t="n"/>
      <c r="N275" s="26" t="n"/>
      <c r="O275" s="26" t="n"/>
      <c r="P275" s="27" t="str">
        <f>IF(OR(J275="",K275="",I275="",AF275=0,AD275=""),"",(K275-J275)*AF275*I275*AD275*AE275)</f>
        <v/>
      </c>
      <c r="Q275" s="26" t="n"/>
      <c r="R275" s="28" t="str">
        <f>IF(Q275&lt;&gt;"",Q275,IF(P275="","",P275-N(N275)+N(O275)))</f>
        <v/>
      </c>
      <c r="S275" s="27" t="str">
        <f>IF(OR(L275="",J275="",I275="",AD275=""),"",ABS(J275-L275)*I275*AD275*AE275)</f>
        <v/>
      </c>
      <c r="T275" s="29" t="str">
        <f>IF(OR(R275="",S275="",S275=0),"",R275/S275)</f>
        <v/>
      </c>
      <c r="U275" s="20" t="str">
        <f>IF(R275="","",IF(R275&gt;0,"Ganadora",IF(R275&lt;0,"Perdedora","BE")))</f>
        <v/>
      </c>
      <c r="V275" s="23" t="n"/>
      <c r="W275" s="23" t="n"/>
      <c r="X275" s="23" t="n"/>
      <c r="Y275" s="23" t="n"/>
      <c r="Z275" s="23" t="n"/>
      <c r="AA275" s="23" t="n"/>
      <c r="AB275" s="30" t="n"/>
      <c r="AC275" s="1" t="n"/>
      <c r="AD275" s="1" t="str">
        <f>IF(G275="","",IFERROR(INDEX('Listas'!$N$6:$N$35,MATCH(G275,'Listas'!$M$6:$M$35,0)),""))</f>
        <v/>
      </c>
      <c r="AE275">
        <f>IF(G275="",1,IFERROR(INDEX('Listas'!$P$6:$P$35,MATCH(G275,'Listas'!$M$6:$M$35,0)),1))</f>
        <v>1</v>
      </c>
      <c r="AF275">
        <f>IF(H275="Compra",1,IF(H275="Venta",-1,0))</f>
        <v>0</v>
      </c>
      <c r="AG275">
        <f>IF(AND(D275&lt;&gt;"",ISNUMBER(R275)),1,0)</f>
        <v>0</v>
      </c>
      <c r="AH275">
        <f>IF(AG275=0,0,IF(OR('Panel'!$D$5="Todas las cuentas",'Panel'!$D$5="",F275='Panel'!$D$5),1,0))</f>
        <v>0</v>
      </c>
      <c r="AI275">
        <f>IF(AH275=0,0,IF(AND(OR('Panel'!$G$5="",D275&gt;='Panel'!$G$5),OR('Panel'!$J$5="",D275&lt;='Panel'!$J$5)),1,0))</f>
        <v>0</v>
      </c>
      <c r="AJ275">
        <f>IF(AI275=1,R275,0)</f>
        <v>0</v>
      </c>
      <c r="AK275" t="str">
        <f>IF(AI275=1,'Panel'!$AB$4+SUM($AJ$5:AJ275),"")</f>
        <v/>
      </c>
      <c r="AL275">
        <f>IF(AI275=0,N(AL274),IF(R275&lt;0,N(AL274)+1,0))</f>
        <v>1</v>
      </c>
      <c r="AM275">
        <f>IF(AI275=0,N(AM274),IF(R275&gt;0,N(AM274)+1,0))</f>
        <v>0</v>
      </c>
      <c r="AN275">
        <f>IF(AI275=1,MAX('Panel'!$AB$4,N(AN274),AK275),N(AN274))</f>
        <v>21371.061500000033</v>
      </c>
      <c r="AO275">
        <f>IF(AI275=1,AN275-AK275,0)</f>
        <v>0</v>
      </c>
      <c r="AP275">
        <f>IF(AND(AI275=1,AN275&gt;0),AO275/AN275,0)</f>
        <v>0</v>
      </c>
      <c r="AQ275" t="str">
        <f>IF(AI275=1,SUM($AI$5:AI275),"")</f>
        <v/>
      </c>
      <c r="AR275" t="str">
        <f>IF(AI275=1,IF(COUNTIFS($D$5:D275,D275,$AI$5:AI275,1)=1,SUMIFS($AJ$5:$AJ$504,$D$5:$D$504,D275),""),"")</f>
        <v/>
      </c>
      <c r="AS275" t="str">
        <f>IF(AG275=1,WEEKDAY(D275,2),"")</f>
        <v/>
      </c>
      <c r="AT275" s="31" t="str">
        <f>IF(AG275=1,DATE(YEAR(D275),MONTH(D275),1),"")</f>
        <v/>
      </c>
      <c r="AU275">
        <f>IF(AG275=0,0,IF(AND(OR('Prop challenge'!$D$7="",F275='Prop challenge'!$D$7),OR('Prop challenge'!$D$9="",D275&gt;='Prop challenge'!$D$9)),1,0))</f>
        <v>0</v>
      </c>
      <c r="AV275">
        <f>IF(AU275=1,IF(COUNTIFS($D$5:D275,D275,$AU$5:AU275,1)=1,1,0),0)</f>
        <v>0</v>
      </c>
      <c r="AW275" t="str">
        <f>IF(AV275=1,SUM($AV$5:AV275),"")</f>
        <v/>
      </c>
      <c r="AX275" t="str">
        <f>IF(AV275=1,SUMIFS($R$5:$R$504,$D$5:$D$504,D275,$AU$5:$AU$504,1),"")</f>
        <v/>
      </c>
    </row>
    <row r="276">
      <c r="A276" s="20" t="str">
        <f>IF(AG276=1,ROW()-4,"")</f>
        <v/>
      </c>
      <c r="B276" s="21" t="n"/>
      <c r="C276" s="22" t="n"/>
      <c r="D276" s="21" t="n"/>
      <c r="E276" s="22" t="n"/>
      <c r="F276" s="23" t="n"/>
      <c r="G276" s="23" t="n"/>
      <c r="H276" s="23" t="n"/>
      <c r="I276" s="24" t="n"/>
      <c r="J276" s="25" t="n"/>
      <c r="K276" s="25" t="n"/>
      <c r="L276" s="25" t="n"/>
      <c r="M276" s="25" t="n"/>
      <c r="N276" s="26" t="n"/>
      <c r="O276" s="26" t="n"/>
      <c r="P276" s="27" t="str">
        <f>IF(OR(J276="",K276="",I276="",AF276=0,AD276=""),"",(K276-J276)*AF276*I276*AD276*AE276)</f>
        <v/>
      </c>
      <c r="Q276" s="26" t="n"/>
      <c r="R276" s="28" t="str">
        <f>IF(Q276&lt;&gt;"",Q276,IF(P276="","",P276-N(N276)+N(O276)))</f>
        <v/>
      </c>
      <c r="S276" s="27" t="str">
        <f>IF(OR(L276="",J276="",I276="",AD276=""),"",ABS(J276-L276)*I276*AD276*AE276)</f>
        <v/>
      </c>
      <c r="T276" s="29" t="str">
        <f>IF(OR(R276="",S276="",S276=0),"",R276/S276)</f>
        <v/>
      </c>
      <c r="U276" s="20" t="str">
        <f>IF(R276="","",IF(R276&gt;0,"Ganadora",IF(R276&lt;0,"Perdedora","BE")))</f>
        <v/>
      </c>
      <c r="V276" s="23" t="n"/>
      <c r="W276" s="23" t="n"/>
      <c r="X276" s="23" t="n"/>
      <c r="Y276" s="23" t="n"/>
      <c r="Z276" s="23" t="n"/>
      <c r="AA276" s="23" t="n"/>
      <c r="AB276" s="30" t="n"/>
      <c r="AC276" s="1" t="n"/>
      <c r="AD276" s="1" t="str">
        <f>IF(G276="","",IFERROR(INDEX('Listas'!$N$6:$N$35,MATCH(G276,'Listas'!$M$6:$M$35,0)),""))</f>
        <v/>
      </c>
      <c r="AE276">
        <f>IF(G276="",1,IFERROR(INDEX('Listas'!$P$6:$P$35,MATCH(G276,'Listas'!$M$6:$M$35,0)),1))</f>
        <v>1</v>
      </c>
      <c r="AF276">
        <f>IF(H276="Compra",1,IF(H276="Venta",-1,0))</f>
        <v>0</v>
      </c>
      <c r="AG276">
        <f>IF(AND(D276&lt;&gt;"",ISNUMBER(R276)),1,0)</f>
        <v>0</v>
      </c>
      <c r="AH276">
        <f>IF(AG276=0,0,IF(OR('Panel'!$D$5="Todas las cuentas",'Panel'!$D$5="",F276='Panel'!$D$5),1,0))</f>
        <v>0</v>
      </c>
      <c r="AI276">
        <f>IF(AH276=0,0,IF(AND(OR('Panel'!$G$5="",D276&gt;='Panel'!$G$5),OR('Panel'!$J$5="",D276&lt;='Panel'!$J$5)),1,0))</f>
        <v>0</v>
      </c>
      <c r="AJ276">
        <f>IF(AI276=1,R276,0)</f>
        <v>0</v>
      </c>
      <c r="AK276" t="str">
        <f>IF(AI276=1,'Panel'!$AB$4+SUM($AJ$5:AJ276),"")</f>
        <v/>
      </c>
      <c r="AL276">
        <f>IF(AI276=0,N(AL275),IF(R276&lt;0,N(AL275)+1,0))</f>
        <v>1</v>
      </c>
      <c r="AM276">
        <f>IF(AI276=0,N(AM275),IF(R276&gt;0,N(AM275)+1,0))</f>
        <v>0</v>
      </c>
      <c r="AN276">
        <f>IF(AI276=1,MAX('Panel'!$AB$4,N(AN275),AK276),N(AN275))</f>
        <v>21371.061500000033</v>
      </c>
      <c r="AO276">
        <f>IF(AI276=1,AN276-AK276,0)</f>
        <v>0</v>
      </c>
      <c r="AP276">
        <f>IF(AND(AI276=1,AN276&gt;0),AO276/AN276,0)</f>
        <v>0</v>
      </c>
      <c r="AQ276" t="str">
        <f>IF(AI276=1,SUM($AI$5:AI276),"")</f>
        <v/>
      </c>
      <c r="AR276" t="str">
        <f>IF(AI276=1,IF(COUNTIFS($D$5:D276,D276,$AI$5:AI276,1)=1,SUMIFS($AJ$5:$AJ$504,$D$5:$D$504,D276),""),"")</f>
        <v/>
      </c>
      <c r="AS276" t="str">
        <f>IF(AG276=1,WEEKDAY(D276,2),"")</f>
        <v/>
      </c>
      <c r="AT276" s="31" t="str">
        <f>IF(AG276=1,DATE(YEAR(D276),MONTH(D276),1),"")</f>
        <v/>
      </c>
      <c r="AU276">
        <f>IF(AG276=0,0,IF(AND(OR('Prop challenge'!$D$7="",F276='Prop challenge'!$D$7),OR('Prop challenge'!$D$9="",D276&gt;='Prop challenge'!$D$9)),1,0))</f>
        <v>0</v>
      </c>
      <c r="AV276">
        <f>IF(AU276=1,IF(COUNTIFS($D$5:D276,D276,$AU$5:AU276,1)=1,1,0),0)</f>
        <v>0</v>
      </c>
      <c r="AW276" t="str">
        <f>IF(AV276=1,SUM($AV$5:AV276),"")</f>
        <v/>
      </c>
      <c r="AX276" t="str">
        <f>IF(AV276=1,SUMIFS($R$5:$R$504,$D$5:$D$504,D276,$AU$5:$AU$504,1),"")</f>
        <v/>
      </c>
    </row>
    <row r="277">
      <c r="A277" s="20" t="str">
        <f>IF(AG277=1,ROW()-4,"")</f>
        <v/>
      </c>
      <c r="B277" s="21" t="n"/>
      <c r="C277" s="22" t="n"/>
      <c r="D277" s="21" t="n"/>
      <c r="E277" s="22" t="n"/>
      <c r="F277" s="23" t="n"/>
      <c r="G277" s="23" t="n"/>
      <c r="H277" s="23" t="n"/>
      <c r="I277" s="24" t="n"/>
      <c r="J277" s="25" t="n"/>
      <c r="K277" s="25" t="n"/>
      <c r="L277" s="25" t="n"/>
      <c r="M277" s="25" t="n"/>
      <c r="N277" s="26" t="n"/>
      <c r="O277" s="26" t="n"/>
      <c r="P277" s="27" t="str">
        <f>IF(OR(J277="",K277="",I277="",AF277=0,AD277=""),"",(K277-J277)*AF277*I277*AD277*AE277)</f>
        <v/>
      </c>
      <c r="Q277" s="26" t="n"/>
      <c r="R277" s="28" t="str">
        <f>IF(Q277&lt;&gt;"",Q277,IF(P277="","",P277-N(N277)+N(O277)))</f>
        <v/>
      </c>
      <c r="S277" s="27" t="str">
        <f>IF(OR(L277="",J277="",I277="",AD277=""),"",ABS(J277-L277)*I277*AD277*AE277)</f>
        <v/>
      </c>
      <c r="T277" s="29" t="str">
        <f>IF(OR(R277="",S277="",S277=0),"",R277/S277)</f>
        <v/>
      </c>
      <c r="U277" s="20" t="str">
        <f>IF(R277="","",IF(R277&gt;0,"Ganadora",IF(R277&lt;0,"Perdedora","BE")))</f>
        <v/>
      </c>
      <c r="V277" s="23" t="n"/>
      <c r="W277" s="23" t="n"/>
      <c r="X277" s="23" t="n"/>
      <c r="Y277" s="23" t="n"/>
      <c r="Z277" s="23" t="n"/>
      <c r="AA277" s="23" t="n"/>
      <c r="AB277" s="30" t="n"/>
      <c r="AC277" s="1" t="n"/>
      <c r="AD277" s="1" t="str">
        <f>IF(G277="","",IFERROR(INDEX('Listas'!$N$6:$N$35,MATCH(G277,'Listas'!$M$6:$M$35,0)),""))</f>
        <v/>
      </c>
      <c r="AE277">
        <f>IF(G277="",1,IFERROR(INDEX('Listas'!$P$6:$P$35,MATCH(G277,'Listas'!$M$6:$M$35,0)),1))</f>
        <v>1</v>
      </c>
      <c r="AF277">
        <f>IF(H277="Compra",1,IF(H277="Venta",-1,0))</f>
        <v>0</v>
      </c>
      <c r="AG277">
        <f>IF(AND(D277&lt;&gt;"",ISNUMBER(R277)),1,0)</f>
        <v>0</v>
      </c>
      <c r="AH277">
        <f>IF(AG277=0,0,IF(OR('Panel'!$D$5="Todas las cuentas",'Panel'!$D$5="",F277='Panel'!$D$5),1,0))</f>
        <v>0</v>
      </c>
      <c r="AI277">
        <f>IF(AH277=0,0,IF(AND(OR('Panel'!$G$5="",D277&gt;='Panel'!$G$5),OR('Panel'!$J$5="",D277&lt;='Panel'!$J$5)),1,0))</f>
        <v>0</v>
      </c>
      <c r="AJ277">
        <f>IF(AI277=1,R277,0)</f>
        <v>0</v>
      </c>
      <c r="AK277" t="str">
        <f>IF(AI277=1,'Panel'!$AB$4+SUM($AJ$5:AJ277),"")</f>
        <v/>
      </c>
      <c r="AL277">
        <f>IF(AI277=0,N(AL276),IF(R277&lt;0,N(AL276)+1,0))</f>
        <v>1</v>
      </c>
      <c r="AM277">
        <f>IF(AI277=0,N(AM276),IF(R277&gt;0,N(AM276)+1,0))</f>
        <v>0</v>
      </c>
      <c r="AN277">
        <f>IF(AI277=1,MAX('Panel'!$AB$4,N(AN276),AK277),N(AN276))</f>
        <v>21371.061500000033</v>
      </c>
      <c r="AO277">
        <f>IF(AI277=1,AN277-AK277,0)</f>
        <v>0</v>
      </c>
      <c r="AP277">
        <f>IF(AND(AI277=1,AN277&gt;0),AO277/AN277,0)</f>
        <v>0</v>
      </c>
      <c r="AQ277" t="str">
        <f>IF(AI277=1,SUM($AI$5:AI277),"")</f>
        <v/>
      </c>
      <c r="AR277" t="str">
        <f>IF(AI277=1,IF(COUNTIFS($D$5:D277,D277,$AI$5:AI277,1)=1,SUMIFS($AJ$5:$AJ$504,$D$5:$D$504,D277),""),"")</f>
        <v/>
      </c>
      <c r="AS277" t="str">
        <f>IF(AG277=1,WEEKDAY(D277,2),"")</f>
        <v/>
      </c>
      <c r="AT277" s="31" t="str">
        <f>IF(AG277=1,DATE(YEAR(D277),MONTH(D277),1),"")</f>
        <v/>
      </c>
      <c r="AU277">
        <f>IF(AG277=0,0,IF(AND(OR('Prop challenge'!$D$7="",F277='Prop challenge'!$D$7),OR('Prop challenge'!$D$9="",D277&gt;='Prop challenge'!$D$9)),1,0))</f>
        <v>0</v>
      </c>
      <c r="AV277">
        <f>IF(AU277=1,IF(COUNTIFS($D$5:D277,D277,$AU$5:AU277,1)=1,1,0),0)</f>
        <v>0</v>
      </c>
      <c r="AW277" t="str">
        <f>IF(AV277=1,SUM($AV$5:AV277),"")</f>
        <v/>
      </c>
      <c r="AX277" t="str">
        <f>IF(AV277=1,SUMIFS($R$5:$R$504,$D$5:$D$504,D277,$AU$5:$AU$504,1),"")</f>
        <v/>
      </c>
    </row>
    <row r="278">
      <c r="A278" s="20" t="str">
        <f>IF(AG278=1,ROW()-4,"")</f>
        <v/>
      </c>
      <c r="B278" s="21" t="n"/>
      <c r="C278" s="22" t="n"/>
      <c r="D278" s="21" t="n"/>
      <c r="E278" s="22" t="n"/>
      <c r="F278" s="23" t="n"/>
      <c r="G278" s="23" t="n"/>
      <c r="H278" s="23" t="n"/>
      <c r="I278" s="24" t="n"/>
      <c r="J278" s="25" t="n"/>
      <c r="K278" s="25" t="n"/>
      <c r="L278" s="25" t="n"/>
      <c r="M278" s="25" t="n"/>
      <c r="N278" s="26" t="n"/>
      <c r="O278" s="26" t="n"/>
      <c r="P278" s="27" t="str">
        <f>IF(OR(J278="",K278="",I278="",AF278=0,AD278=""),"",(K278-J278)*AF278*I278*AD278*AE278)</f>
        <v/>
      </c>
      <c r="Q278" s="26" t="n"/>
      <c r="R278" s="28" t="str">
        <f>IF(Q278&lt;&gt;"",Q278,IF(P278="","",P278-N(N278)+N(O278)))</f>
        <v/>
      </c>
      <c r="S278" s="27" t="str">
        <f>IF(OR(L278="",J278="",I278="",AD278=""),"",ABS(J278-L278)*I278*AD278*AE278)</f>
        <v/>
      </c>
      <c r="T278" s="29" t="str">
        <f>IF(OR(R278="",S278="",S278=0),"",R278/S278)</f>
        <v/>
      </c>
      <c r="U278" s="20" t="str">
        <f>IF(R278="","",IF(R278&gt;0,"Ganadora",IF(R278&lt;0,"Perdedora","BE")))</f>
        <v/>
      </c>
      <c r="V278" s="23" t="n"/>
      <c r="W278" s="23" t="n"/>
      <c r="X278" s="23" t="n"/>
      <c r="Y278" s="23" t="n"/>
      <c r="Z278" s="23" t="n"/>
      <c r="AA278" s="23" t="n"/>
      <c r="AB278" s="30" t="n"/>
      <c r="AC278" s="1" t="n"/>
      <c r="AD278" s="1" t="str">
        <f>IF(G278="","",IFERROR(INDEX('Listas'!$N$6:$N$35,MATCH(G278,'Listas'!$M$6:$M$35,0)),""))</f>
        <v/>
      </c>
      <c r="AE278">
        <f>IF(G278="",1,IFERROR(INDEX('Listas'!$P$6:$P$35,MATCH(G278,'Listas'!$M$6:$M$35,0)),1))</f>
        <v>1</v>
      </c>
      <c r="AF278">
        <f>IF(H278="Compra",1,IF(H278="Venta",-1,0))</f>
        <v>0</v>
      </c>
      <c r="AG278">
        <f>IF(AND(D278&lt;&gt;"",ISNUMBER(R278)),1,0)</f>
        <v>0</v>
      </c>
      <c r="AH278">
        <f>IF(AG278=0,0,IF(OR('Panel'!$D$5="Todas las cuentas",'Panel'!$D$5="",F278='Panel'!$D$5),1,0))</f>
        <v>0</v>
      </c>
      <c r="AI278">
        <f>IF(AH278=0,0,IF(AND(OR('Panel'!$G$5="",D278&gt;='Panel'!$G$5),OR('Panel'!$J$5="",D278&lt;='Panel'!$J$5)),1,0))</f>
        <v>0</v>
      </c>
      <c r="AJ278">
        <f>IF(AI278=1,R278,0)</f>
        <v>0</v>
      </c>
      <c r="AK278" t="str">
        <f>IF(AI278=1,'Panel'!$AB$4+SUM($AJ$5:AJ278),"")</f>
        <v/>
      </c>
      <c r="AL278">
        <f>IF(AI278=0,N(AL277),IF(R278&lt;0,N(AL277)+1,0))</f>
        <v>1</v>
      </c>
      <c r="AM278">
        <f>IF(AI278=0,N(AM277),IF(R278&gt;0,N(AM277)+1,0))</f>
        <v>0</v>
      </c>
      <c r="AN278">
        <f>IF(AI278=1,MAX('Panel'!$AB$4,N(AN277),AK278),N(AN277))</f>
        <v>21371.061500000033</v>
      </c>
      <c r="AO278">
        <f>IF(AI278=1,AN278-AK278,0)</f>
        <v>0</v>
      </c>
      <c r="AP278">
        <f>IF(AND(AI278=1,AN278&gt;0),AO278/AN278,0)</f>
        <v>0</v>
      </c>
      <c r="AQ278" t="str">
        <f>IF(AI278=1,SUM($AI$5:AI278),"")</f>
        <v/>
      </c>
      <c r="AR278" t="str">
        <f>IF(AI278=1,IF(COUNTIFS($D$5:D278,D278,$AI$5:AI278,1)=1,SUMIFS($AJ$5:$AJ$504,$D$5:$D$504,D278),""),"")</f>
        <v/>
      </c>
      <c r="AS278" t="str">
        <f>IF(AG278=1,WEEKDAY(D278,2),"")</f>
        <v/>
      </c>
      <c r="AT278" s="31" t="str">
        <f>IF(AG278=1,DATE(YEAR(D278),MONTH(D278),1),"")</f>
        <v/>
      </c>
      <c r="AU278">
        <f>IF(AG278=0,0,IF(AND(OR('Prop challenge'!$D$7="",F278='Prop challenge'!$D$7),OR('Prop challenge'!$D$9="",D278&gt;='Prop challenge'!$D$9)),1,0))</f>
        <v>0</v>
      </c>
      <c r="AV278">
        <f>IF(AU278=1,IF(COUNTIFS($D$5:D278,D278,$AU$5:AU278,1)=1,1,0),0)</f>
        <v>0</v>
      </c>
      <c r="AW278" t="str">
        <f>IF(AV278=1,SUM($AV$5:AV278),"")</f>
        <v/>
      </c>
      <c r="AX278" t="str">
        <f>IF(AV278=1,SUMIFS($R$5:$R$504,$D$5:$D$504,D278,$AU$5:$AU$504,1),"")</f>
        <v/>
      </c>
    </row>
    <row r="279">
      <c r="A279" s="20" t="str">
        <f>IF(AG279=1,ROW()-4,"")</f>
        <v/>
      </c>
      <c r="B279" s="21" t="n"/>
      <c r="C279" s="22" t="n"/>
      <c r="D279" s="21" t="n"/>
      <c r="E279" s="22" t="n"/>
      <c r="F279" s="23" t="n"/>
      <c r="G279" s="23" t="n"/>
      <c r="H279" s="23" t="n"/>
      <c r="I279" s="24" t="n"/>
      <c r="J279" s="25" t="n"/>
      <c r="K279" s="25" t="n"/>
      <c r="L279" s="25" t="n"/>
      <c r="M279" s="25" t="n"/>
      <c r="N279" s="26" t="n"/>
      <c r="O279" s="26" t="n"/>
      <c r="P279" s="27" t="str">
        <f>IF(OR(J279="",K279="",I279="",AF279=0,AD279=""),"",(K279-J279)*AF279*I279*AD279*AE279)</f>
        <v/>
      </c>
      <c r="Q279" s="26" t="n"/>
      <c r="R279" s="28" t="str">
        <f>IF(Q279&lt;&gt;"",Q279,IF(P279="","",P279-N(N279)+N(O279)))</f>
        <v/>
      </c>
      <c r="S279" s="27" t="str">
        <f>IF(OR(L279="",J279="",I279="",AD279=""),"",ABS(J279-L279)*I279*AD279*AE279)</f>
        <v/>
      </c>
      <c r="T279" s="29" t="str">
        <f>IF(OR(R279="",S279="",S279=0),"",R279/S279)</f>
        <v/>
      </c>
      <c r="U279" s="20" t="str">
        <f>IF(R279="","",IF(R279&gt;0,"Ganadora",IF(R279&lt;0,"Perdedora","BE")))</f>
        <v/>
      </c>
      <c r="V279" s="23" t="n"/>
      <c r="W279" s="23" t="n"/>
      <c r="X279" s="23" t="n"/>
      <c r="Y279" s="23" t="n"/>
      <c r="Z279" s="23" t="n"/>
      <c r="AA279" s="23" t="n"/>
      <c r="AB279" s="30" t="n"/>
      <c r="AC279" s="1" t="n"/>
      <c r="AD279" s="1" t="str">
        <f>IF(G279="","",IFERROR(INDEX('Listas'!$N$6:$N$35,MATCH(G279,'Listas'!$M$6:$M$35,0)),""))</f>
        <v/>
      </c>
      <c r="AE279">
        <f>IF(G279="",1,IFERROR(INDEX('Listas'!$P$6:$P$35,MATCH(G279,'Listas'!$M$6:$M$35,0)),1))</f>
        <v>1</v>
      </c>
      <c r="AF279">
        <f>IF(H279="Compra",1,IF(H279="Venta",-1,0))</f>
        <v>0</v>
      </c>
      <c r="AG279">
        <f>IF(AND(D279&lt;&gt;"",ISNUMBER(R279)),1,0)</f>
        <v>0</v>
      </c>
      <c r="AH279">
        <f>IF(AG279=0,0,IF(OR('Panel'!$D$5="Todas las cuentas",'Panel'!$D$5="",F279='Panel'!$D$5),1,0))</f>
        <v>0</v>
      </c>
      <c r="AI279">
        <f>IF(AH279=0,0,IF(AND(OR('Panel'!$G$5="",D279&gt;='Panel'!$G$5),OR('Panel'!$J$5="",D279&lt;='Panel'!$J$5)),1,0))</f>
        <v>0</v>
      </c>
      <c r="AJ279">
        <f>IF(AI279=1,R279,0)</f>
        <v>0</v>
      </c>
      <c r="AK279" t="str">
        <f>IF(AI279=1,'Panel'!$AB$4+SUM($AJ$5:AJ279),"")</f>
        <v/>
      </c>
      <c r="AL279">
        <f>IF(AI279=0,N(AL278),IF(R279&lt;0,N(AL278)+1,0))</f>
        <v>1</v>
      </c>
      <c r="AM279">
        <f>IF(AI279=0,N(AM278),IF(R279&gt;0,N(AM278)+1,0))</f>
        <v>0</v>
      </c>
      <c r="AN279">
        <f>IF(AI279=1,MAX('Panel'!$AB$4,N(AN278),AK279),N(AN278))</f>
        <v>21371.061500000033</v>
      </c>
      <c r="AO279">
        <f>IF(AI279=1,AN279-AK279,0)</f>
        <v>0</v>
      </c>
      <c r="AP279">
        <f>IF(AND(AI279=1,AN279&gt;0),AO279/AN279,0)</f>
        <v>0</v>
      </c>
      <c r="AQ279" t="str">
        <f>IF(AI279=1,SUM($AI$5:AI279),"")</f>
        <v/>
      </c>
      <c r="AR279" t="str">
        <f>IF(AI279=1,IF(COUNTIFS($D$5:D279,D279,$AI$5:AI279,1)=1,SUMIFS($AJ$5:$AJ$504,$D$5:$D$504,D279),""),"")</f>
        <v/>
      </c>
      <c r="AS279" t="str">
        <f>IF(AG279=1,WEEKDAY(D279,2),"")</f>
        <v/>
      </c>
      <c r="AT279" s="31" t="str">
        <f>IF(AG279=1,DATE(YEAR(D279),MONTH(D279),1),"")</f>
        <v/>
      </c>
      <c r="AU279">
        <f>IF(AG279=0,0,IF(AND(OR('Prop challenge'!$D$7="",F279='Prop challenge'!$D$7),OR('Prop challenge'!$D$9="",D279&gt;='Prop challenge'!$D$9)),1,0))</f>
        <v>0</v>
      </c>
      <c r="AV279">
        <f>IF(AU279=1,IF(COUNTIFS($D$5:D279,D279,$AU$5:AU279,1)=1,1,0),0)</f>
        <v>0</v>
      </c>
      <c r="AW279" t="str">
        <f>IF(AV279=1,SUM($AV$5:AV279),"")</f>
        <v/>
      </c>
      <c r="AX279" t="str">
        <f>IF(AV279=1,SUMIFS($R$5:$R$504,$D$5:$D$504,D279,$AU$5:$AU$504,1),"")</f>
        <v/>
      </c>
    </row>
    <row r="280">
      <c r="A280" s="20" t="str">
        <f>IF(AG280=1,ROW()-4,"")</f>
        <v/>
      </c>
      <c r="B280" s="21" t="n"/>
      <c r="C280" s="22" t="n"/>
      <c r="D280" s="21" t="n"/>
      <c r="E280" s="22" t="n"/>
      <c r="F280" s="23" t="n"/>
      <c r="G280" s="23" t="n"/>
      <c r="H280" s="23" t="n"/>
      <c r="I280" s="24" t="n"/>
      <c r="J280" s="25" t="n"/>
      <c r="K280" s="25" t="n"/>
      <c r="L280" s="25" t="n"/>
      <c r="M280" s="25" t="n"/>
      <c r="N280" s="26" t="n"/>
      <c r="O280" s="26" t="n"/>
      <c r="P280" s="27" t="str">
        <f>IF(OR(J280="",K280="",I280="",AF280=0,AD280=""),"",(K280-J280)*AF280*I280*AD280*AE280)</f>
        <v/>
      </c>
      <c r="Q280" s="26" t="n"/>
      <c r="R280" s="28" t="str">
        <f>IF(Q280&lt;&gt;"",Q280,IF(P280="","",P280-N(N280)+N(O280)))</f>
        <v/>
      </c>
      <c r="S280" s="27" t="str">
        <f>IF(OR(L280="",J280="",I280="",AD280=""),"",ABS(J280-L280)*I280*AD280*AE280)</f>
        <v/>
      </c>
      <c r="T280" s="29" t="str">
        <f>IF(OR(R280="",S280="",S280=0),"",R280/S280)</f>
        <v/>
      </c>
      <c r="U280" s="20" t="str">
        <f>IF(R280="","",IF(R280&gt;0,"Ganadora",IF(R280&lt;0,"Perdedora","BE")))</f>
        <v/>
      </c>
      <c r="V280" s="23" t="n"/>
      <c r="W280" s="23" t="n"/>
      <c r="X280" s="23" t="n"/>
      <c r="Y280" s="23" t="n"/>
      <c r="Z280" s="23" t="n"/>
      <c r="AA280" s="23" t="n"/>
      <c r="AB280" s="30" t="n"/>
      <c r="AC280" s="1" t="n"/>
      <c r="AD280" s="1" t="str">
        <f>IF(G280="","",IFERROR(INDEX('Listas'!$N$6:$N$35,MATCH(G280,'Listas'!$M$6:$M$35,0)),""))</f>
        <v/>
      </c>
      <c r="AE280">
        <f>IF(G280="",1,IFERROR(INDEX('Listas'!$P$6:$P$35,MATCH(G280,'Listas'!$M$6:$M$35,0)),1))</f>
        <v>1</v>
      </c>
      <c r="AF280">
        <f>IF(H280="Compra",1,IF(H280="Venta",-1,0))</f>
        <v>0</v>
      </c>
      <c r="AG280">
        <f>IF(AND(D280&lt;&gt;"",ISNUMBER(R280)),1,0)</f>
        <v>0</v>
      </c>
      <c r="AH280">
        <f>IF(AG280=0,0,IF(OR('Panel'!$D$5="Todas las cuentas",'Panel'!$D$5="",F280='Panel'!$D$5),1,0))</f>
        <v>0</v>
      </c>
      <c r="AI280">
        <f>IF(AH280=0,0,IF(AND(OR('Panel'!$G$5="",D280&gt;='Panel'!$G$5),OR('Panel'!$J$5="",D280&lt;='Panel'!$J$5)),1,0))</f>
        <v>0</v>
      </c>
      <c r="AJ280">
        <f>IF(AI280=1,R280,0)</f>
        <v>0</v>
      </c>
      <c r="AK280" t="str">
        <f>IF(AI280=1,'Panel'!$AB$4+SUM($AJ$5:AJ280),"")</f>
        <v/>
      </c>
      <c r="AL280">
        <f>IF(AI280=0,N(AL279),IF(R280&lt;0,N(AL279)+1,0))</f>
        <v>1</v>
      </c>
      <c r="AM280">
        <f>IF(AI280=0,N(AM279),IF(R280&gt;0,N(AM279)+1,0))</f>
        <v>0</v>
      </c>
      <c r="AN280">
        <f>IF(AI280=1,MAX('Panel'!$AB$4,N(AN279),AK280),N(AN279))</f>
        <v>21371.061500000033</v>
      </c>
      <c r="AO280">
        <f>IF(AI280=1,AN280-AK280,0)</f>
        <v>0</v>
      </c>
      <c r="AP280">
        <f>IF(AND(AI280=1,AN280&gt;0),AO280/AN280,0)</f>
        <v>0</v>
      </c>
      <c r="AQ280" t="str">
        <f>IF(AI280=1,SUM($AI$5:AI280),"")</f>
        <v/>
      </c>
      <c r="AR280" t="str">
        <f>IF(AI280=1,IF(COUNTIFS($D$5:D280,D280,$AI$5:AI280,1)=1,SUMIFS($AJ$5:$AJ$504,$D$5:$D$504,D280),""),"")</f>
        <v/>
      </c>
      <c r="AS280" t="str">
        <f>IF(AG280=1,WEEKDAY(D280,2),"")</f>
        <v/>
      </c>
      <c r="AT280" s="31" t="str">
        <f>IF(AG280=1,DATE(YEAR(D280),MONTH(D280),1),"")</f>
        <v/>
      </c>
      <c r="AU280">
        <f>IF(AG280=0,0,IF(AND(OR('Prop challenge'!$D$7="",F280='Prop challenge'!$D$7),OR('Prop challenge'!$D$9="",D280&gt;='Prop challenge'!$D$9)),1,0))</f>
        <v>0</v>
      </c>
      <c r="AV280">
        <f>IF(AU280=1,IF(COUNTIFS($D$5:D280,D280,$AU$5:AU280,1)=1,1,0),0)</f>
        <v>0</v>
      </c>
      <c r="AW280" t="str">
        <f>IF(AV280=1,SUM($AV$5:AV280),"")</f>
        <v/>
      </c>
      <c r="AX280" t="str">
        <f>IF(AV280=1,SUMIFS($R$5:$R$504,$D$5:$D$504,D280,$AU$5:$AU$504,1),"")</f>
        <v/>
      </c>
    </row>
    <row r="281">
      <c r="A281" s="20" t="str">
        <f>IF(AG281=1,ROW()-4,"")</f>
        <v/>
      </c>
      <c r="B281" s="21" t="n"/>
      <c r="C281" s="22" t="n"/>
      <c r="D281" s="21" t="n"/>
      <c r="E281" s="22" t="n"/>
      <c r="F281" s="23" t="n"/>
      <c r="G281" s="23" t="n"/>
      <c r="H281" s="23" t="n"/>
      <c r="I281" s="24" t="n"/>
      <c r="J281" s="25" t="n"/>
      <c r="K281" s="25" t="n"/>
      <c r="L281" s="25" t="n"/>
      <c r="M281" s="25" t="n"/>
      <c r="N281" s="26" t="n"/>
      <c r="O281" s="26" t="n"/>
      <c r="P281" s="27" t="str">
        <f>IF(OR(J281="",K281="",I281="",AF281=0,AD281=""),"",(K281-J281)*AF281*I281*AD281*AE281)</f>
        <v/>
      </c>
      <c r="Q281" s="26" t="n"/>
      <c r="R281" s="28" t="str">
        <f>IF(Q281&lt;&gt;"",Q281,IF(P281="","",P281-N(N281)+N(O281)))</f>
        <v/>
      </c>
      <c r="S281" s="27" t="str">
        <f>IF(OR(L281="",J281="",I281="",AD281=""),"",ABS(J281-L281)*I281*AD281*AE281)</f>
        <v/>
      </c>
      <c r="T281" s="29" t="str">
        <f>IF(OR(R281="",S281="",S281=0),"",R281/S281)</f>
        <v/>
      </c>
      <c r="U281" s="20" t="str">
        <f>IF(R281="","",IF(R281&gt;0,"Ganadora",IF(R281&lt;0,"Perdedora","BE")))</f>
        <v/>
      </c>
      <c r="V281" s="23" t="n"/>
      <c r="W281" s="23" t="n"/>
      <c r="X281" s="23" t="n"/>
      <c r="Y281" s="23" t="n"/>
      <c r="Z281" s="23" t="n"/>
      <c r="AA281" s="23" t="n"/>
      <c r="AB281" s="30" t="n"/>
      <c r="AC281" s="1" t="n"/>
      <c r="AD281" s="1" t="str">
        <f>IF(G281="","",IFERROR(INDEX('Listas'!$N$6:$N$35,MATCH(G281,'Listas'!$M$6:$M$35,0)),""))</f>
        <v/>
      </c>
      <c r="AE281">
        <f>IF(G281="",1,IFERROR(INDEX('Listas'!$P$6:$P$35,MATCH(G281,'Listas'!$M$6:$M$35,0)),1))</f>
        <v>1</v>
      </c>
      <c r="AF281">
        <f>IF(H281="Compra",1,IF(H281="Venta",-1,0))</f>
        <v>0</v>
      </c>
      <c r="AG281">
        <f>IF(AND(D281&lt;&gt;"",ISNUMBER(R281)),1,0)</f>
        <v>0</v>
      </c>
      <c r="AH281">
        <f>IF(AG281=0,0,IF(OR('Panel'!$D$5="Todas las cuentas",'Panel'!$D$5="",F281='Panel'!$D$5),1,0))</f>
        <v>0</v>
      </c>
      <c r="AI281">
        <f>IF(AH281=0,0,IF(AND(OR('Panel'!$G$5="",D281&gt;='Panel'!$G$5),OR('Panel'!$J$5="",D281&lt;='Panel'!$J$5)),1,0))</f>
        <v>0</v>
      </c>
      <c r="AJ281">
        <f>IF(AI281=1,R281,0)</f>
        <v>0</v>
      </c>
      <c r="AK281" t="str">
        <f>IF(AI281=1,'Panel'!$AB$4+SUM($AJ$5:AJ281),"")</f>
        <v/>
      </c>
      <c r="AL281">
        <f>IF(AI281=0,N(AL280),IF(R281&lt;0,N(AL280)+1,0))</f>
        <v>1</v>
      </c>
      <c r="AM281">
        <f>IF(AI281=0,N(AM280),IF(R281&gt;0,N(AM280)+1,0))</f>
        <v>0</v>
      </c>
      <c r="AN281">
        <f>IF(AI281=1,MAX('Panel'!$AB$4,N(AN280),AK281),N(AN280))</f>
        <v>21371.061500000033</v>
      </c>
      <c r="AO281">
        <f>IF(AI281=1,AN281-AK281,0)</f>
        <v>0</v>
      </c>
      <c r="AP281">
        <f>IF(AND(AI281=1,AN281&gt;0),AO281/AN281,0)</f>
        <v>0</v>
      </c>
      <c r="AQ281" t="str">
        <f>IF(AI281=1,SUM($AI$5:AI281),"")</f>
        <v/>
      </c>
      <c r="AR281" t="str">
        <f>IF(AI281=1,IF(COUNTIFS($D$5:D281,D281,$AI$5:AI281,1)=1,SUMIFS($AJ$5:$AJ$504,$D$5:$D$504,D281),""),"")</f>
        <v/>
      </c>
      <c r="AS281" t="str">
        <f>IF(AG281=1,WEEKDAY(D281,2),"")</f>
        <v/>
      </c>
      <c r="AT281" s="31" t="str">
        <f>IF(AG281=1,DATE(YEAR(D281),MONTH(D281),1),"")</f>
        <v/>
      </c>
      <c r="AU281">
        <f>IF(AG281=0,0,IF(AND(OR('Prop challenge'!$D$7="",F281='Prop challenge'!$D$7),OR('Prop challenge'!$D$9="",D281&gt;='Prop challenge'!$D$9)),1,0))</f>
        <v>0</v>
      </c>
      <c r="AV281">
        <f>IF(AU281=1,IF(COUNTIFS($D$5:D281,D281,$AU$5:AU281,1)=1,1,0),0)</f>
        <v>0</v>
      </c>
      <c r="AW281" t="str">
        <f>IF(AV281=1,SUM($AV$5:AV281),"")</f>
        <v/>
      </c>
      <c r="AX281" t="str">
        <f>IF(AV281=1,SUMIFS($R$5:$R$504,$D$5:$D$504,D281,$AU$5:$AU$504,1),"")</f>
        <v/>
      </c>
    </row>
    <row r="282">
      <c r="A282" s="20" t="str">
        <f>IF(AG282=1,ROW()-4,"")</f>
        <v/>
      </c>
      <c r="B282" s="21" t="n"/>
      <c r="C282" s="22" t="n"/>
      <c r="D282" s="21" t="n"/>
      <c r="E282" s="22" t="n"/>
      <c r="F282" s="23" t="n"/>
      <c r="G282" s="23" t="n"/>
      <c r="H282" s="23" t="n"/>
      <c r="I282" s="24" t="n"/>
      <c r="J282" s="25" t="n"/>
      <c r="K282" s="25" t="n"/>
      <c r="L282" s="25" t="n"/>
      <c r="M282" s="25" t="n"/>
      <c r="N282" s="26" t="n"/>
      <c r="O282" s="26" t="n"/>
      <c r="P282" s="27" t="str">
        <f>IF(OR(J282="",K282="",I282="",AF282=0,AD282=""),"",(K282-J282)*AF282*I282*AD282*AE282)</f>
        <v/>
      </c>
      <c r="Q282" s="26" t="n"/>
      <c r="R282" s="28" t="str">
        <f>IF(Q282&lt;&gt;"",Q282,IF(P282="","",P282-N(N282)+N(O282)))</f>
        <v/>
      </c>
      <c r="S282" s="27" t="str">
        <f>IF(OR(L282="",J282="",I282="",AD282=""),"",ABS(J282-L282)*I282*AD282*AE282)</f>
        <v/>
      </c>
      <c r="T282" s="29" t="str">
        <f>IF(OR(R282="",S282="",S282=0),"",R282/S282)</f>
        <v/>
      </c>
      <c r="U282" s="20" t="str">
        <f>IF(R282="","",IF(R282&gt;0,"Ganadora",IF(R282&lt;0,"Perdedora","BE")))</f>
        <v/>
      </c>
      <c r="V282" s="23" t="n"/>
      <c r="W282" s="23" t="n"/>
      <c r="X282" s="23" t="n"/>
      <c r="Y282" s="23" t="n"/>
      <c r="Z282" s="23" t="n"/>
      <c r="AA282" s="23" t="n"/>
      <c r="AB282" s="30" t="n"/>
      <c r="AC282" s="1" t="n"/>
      <c r="AD282" s="1" t="str">
        <f>IF(G282="","",IFERROR(INDEX('Listas'!$N$6:$N$35,MATCH(G282,'Listas'!$M$6:$M$35,0)),""))</f>
        <v/>
      </c>
      <c r="AE282">
        <f>IF(G282="",1,IFERROR(INDEX('Listas'!$P$6:$P$35,MATCH(G282,'Listas'!$M$6:$M$35,0)),1))</f>
        <v>1</v>
      </c>
      <c r="AF282">
        <f>IF(H282="Compra",1,IF(H282="Venta",-1,0))</f>
        <v>0</v>
      </c>
      <c r="AG282">
        <f>IF(AND(D282&lt;&gt;"",ISNUMBER(R282)),1,0)</f>
        <v>0</v>
      </c>
      <c r="AH282">
        <f>IF(AG282=0,0,IF(OR('Panel'!$D$5="Todas las cuentas",'Panel'!$D$5="",F282='Panel'!$D$5),1,0))</f>
        <v>0</v>
      </c>
      <c r="AI282">
        <f>IF(AH282=0,0,IF(AND(OR('Panel'!$G$5="",D282&gt;='Panel'!$G$5),OR('Panel'!$J$5="",D282&lt;='Panel'!$J$5)),1,0))</f>
        <v>0</v>
      </c>
      <c r="AJ282">
        <f>IF(AI282=1,R282,0)</f>
        <v>0</v>
      </c>
      <c r="AK282" t="str">
        <f>IF(AI282=1,'Panel'!$AB$4+SUM($AJ$5:AJ282),"")</f>
        <v/>
      </c>
      <c r="AL282">
        <f>IF(AI282=0,N(AL281),IF(R282&lt;0,N(AL281)+1,0))</f>
        <v>1</v>
      </c>
      <c r="AM282">
        <f>IF(AI282=0,N(AM281),IF(R282&gt;0,N(AM281)+1,0))</f>
        <v>0</v>
      </c>
      <c r="AN282">
        <f>IF(AI282=1,MAX('Panel'!$AB$4,N(AN281),AK282),N(AN281))</f>
        <v>21371.061500000033</v>
      </c>
      <c r="AO282">
        <f>IF(AI282=1,AN282-AK282,0)</f>
        <v>0</v>
      </c>
      <c r="AP282">
        <f>IF(AND(AI282=1,AN282&gt;0),AO282/AN282,0)</f>
        <v>0</v>
      </c>
      <c r="AQ282" t="str">
        <f>IF(AI282=1,SUM($AI$5:AI282),"")</f>
        <v/>
      </c>
      <c r="AR282" t="str">
        <f>IF(AI282=1,IF(COUNTIFS($D$5:D282,D282,$AI$5:AI282,1)=1,SUMIFS($AJ$5:$AJ$504,$D$5:$D$504,D282),""),"")</f>
        <v/>
      </c>
      <c r="AS282" t="str">
        <f>IF(AG282=1,WEEKDAY(D282,2),"")</f>
        <v/>
      </c>
      <c r="AT282" s="31" t="str">
        <f>IF(AG282=1,DATE(YEAR(D282),MONTH(D282),1),"")</f>
        <v/>
      </c>
      <c r="AU282">
        <f>IF(AG282=0,0,IF(AND(OR('Prop challenge'!$D$7="",F282='Prop challenge'!$D$7),OR('Prop challenge'!$D$9="",D282&gt;='Prop challenge'!$D$9)),1,0))</f>
        <v>0</v>
      </c>
      <c r="AV282">
        <f>IF(AU282=1,IF(COUNTIFS($D$5:D282,D282,$AU$5:AU282,1)=1,1,0),0)</f>
        <v>0</v>
      </c>
      <c r="AW282" t="str">
        <f>IF(AV282=1,SUM($AV$5:AV282),"")</f>
        <v/>
      </c>
      <c r="AX282" t="str">
        <f>IF(AV282=1,SUMIFS($R$5:$R$504,$D$5:$D$504,D282,$AU$5:$AU$504,1),"")</f>
        <v/>
      </c>
    </row>
    <row r="283">
      <c r="A283" s="20" t="str">
        <f>IF(AG283=1,ROW()-4,"")</f>
        <v/>
      </c>
      <c r="B283" s="21" t="n"/>
      <c r="C283" s="22" t="n"/>
      <c r="D283" s="21" t="n"/>
      <c r="E283" s="22" t="n"/>
      <c r="F283" s="23" t="n"/>
      <c r="G283" s="23" t="n"/>
      <c r="H283" s="23" t="n"/>
      <c r="I283" s="24" t="n"/>
      <c r="J283" s="25" t="n"/>
      <c r="K283" s="25" t="n"/>
      <c r="L283" s="25" t="n"/>
      <c r="M283" s="25" t="n"/>
      <c r="N283" s="26" t="n"/>
      <c r="O283" s="26" t="n"/>
      <c r="P283" s="27" t="str">
        <f>IF(OR(J283="",K283="",I283="",AF283=0,AD283=""),"",(K283-J283)*AF283*I283*AD283*AE283)</f>
        <v/>
      </c>
      <c r="Q283" s="26" t="n"/>
      <c r="R283" s="28" t="str">
        <f>IF(Q283&lt;&gt;"",Q283,IF(P283="","",P283-N(N283)+N(O283)))</f>
        <v/>
      </c>
      <c r="S283" s="27" t="str">
        <f>IF(OR(L283="",J283="",I283="",AD283=""),"",ABS(J283-L283)*I283*AD283*AE283)</f>
        <v/>
      </c>
      <c r="T283" s="29" t="str">
        <f>IF(OR(R283="",S283="",S283=0),"",R283/S283)</f>
        <v/>
      </c>
      <c r="U283" s="20" t="str">
        <f>IF(R283="","",IF(R283&gt;0,"Ganadora",IF(R283&lt;0,"Perdedora","BE")))</f>
        <v/>
      </c>
      <c r="V283" s="23" t="n"/>
      <c r="W283" s="23" t="n"/>
      <c r="X283" s="23" t="n"/>
      <c r="Y283" s="23" t="n"/>
      <c r="Z283" s="23" t="n"/>
      <c r="AA283" s="23" t="n"/>
      <c r="AB283" s="30" t="n"/>
      <c r="AC283" s="1" t="n"/>
      <c r="AD283" s="1" t="str">
        <f>IF(G283="","",IFERROR(INDEX('Listas'!$N$6:$N$35,MATCH(G283,'Listas'!$M$6:$M$35,0)),""))</f>
        <v/>
      </c>
      <c r="AE283">
        <f>IF(G283="",1,IFERROR(INDEX('Listas'!$P$6:$P$35,MATCH(G283,'Listas'!$M$6:$M$35,0)),1))</f>
        <v>1</v>
      </c>
      <c r="AF283">
        <f>IF(H283="Compra",1,IF(H283="Venta",-1,0))</f>
        <v>0</v>
      </c>
      <c r="AG283">
        <f>IF(AND(D283&lt;&gt;"",ISNUMBER(R283)),1,0)</f>
        <v>0</v>
      </c>
      <c r="AH283">
        <f>IF(AG283=0,0,IF(OR('Panel'!$D$5="Todas las cuentas",'Panel'!$D$5="",F283='Panel'!$D$5),1,0))</f>
        <v>0</v>
      </c>
      <c r="AI283">
        <f>IF(AH283=0,0,IF(AND(OR('Panel'!$G$5="",D283&gt;='Panel'!$G$5),OR('Panel'!$J$5="",D283&lt;='Panel'!$J$5)),1,0))</f>
        <v>0</v>
      </c>
      <c r="AJ283">
        <f>IF(AI283=1,R283,0)</f>
        <v>0</v>
      </c>
      <c r="AK283" t="str">
        <f>IF(AI283=1,'Panel'!$AB$4+SUM($AJ$5:AJ283),"")</f>
        <v/>
      </c>
      <c r="AL283">
        <f>IF(AI283=0,N(AL282),IF(R283&lt;0,N(AL282)+1,0))</f>
        <v>1</v>
      </c>
      <c r="AM283">
        <f>IF(AI283=0,N(AM282),IF(R283&gt;0,N(AM282)+1,0))</f>
        <v>0</v>
      </c>
      <c r="AN283">
        <f>IF(AI283=1,MAX('Panel'!$AB$4,N(AN282),AK283),N(AN282))</f>
        <v>21371.061500000033</v>
      </c>
      <c r="AO283">
        <f>IF(AI283=1,AN283-AK283,0)</f>
        <v>0</v>
      </c>
      <c r="AP283">
        <f>IF(AND(AI283=1,AN283&gt;0),AO283/AN283,0)</f>
        <v>0</v>
      </c>
      <c r="AQ283" t="str">
        <f>IF(AI283=1,SUM($AI$5:AI283),"")</f>
        <v/>
      </c>
      <c r="AR283" t="str">
        <f>IF(AI283=1,IF(COUNTIFS($D$5:D283,D283,$AI$5:AI283,1)=1,SUMIFS($AJ$5:$AJ$504,$D$5:$D$504,D283),""),"")</f>
        <v/>
      </c>
      <c r="AS283" t="str">
        <f>IF(AG283=1,WEEKDAY(D283,2),"")</f>
        <v/>
      </c>
      <c r="AT283" s="31" t="str">
        <f>IF(AG283=1,DATE(YEAR(D283),MONTH(D283),1),"")</f>
        <v/>
      </c>
      <c r="AU283">
        <f>IF(AG283=0,0,IF(AND(OR('Prop challenge'!$D$7="",F283='Prop challenge'!$D$7),OR('Prop challenge'!$D$9="",D283&gt;='Prop challenge'!$D$9)),1,0))</f>
        <v>0</v>
      </c>
      <c r="AV283">
        <f>IF(AU283=1,IF(COUNTIFS($D$5:D283,D283,$AU$5:AU283,1)=1,1,0),0)</f>
        <v>0</v>
      </c>
      <c r="AW283" t="str">
        <f>IF(AV283=1,SUM($AV$5:AV283),"")</f>
        <v/>
      </c>
      <c r="AX283" t="str">
        <f>IF(AV283=1,SUMIFS($R$5:$R$504,$D$5:$D$504,D283,$AU$5:$AU$504,1),"")</f>
        <v/>
      </c>
    </row>
    <row r="284">
      <c r="A284" s="20" t="str">
        <f>IF(AG284=1,ROW()-4,"")</f>
        <v/>
      </c>
      <c r="B284" s="21" t="n"/>
      <c r="C284" s="22" t="n"/>
      <c r="D284" s="21" t="n"/>
      <c r="E284" s="22" t="n"/>
      <c r="F284" s="23" t="n"/>
      <c r="G284" s="23" t="n"/>
      <c r="H284" s="23" t="n"/>
      <c r="I284" s="24" t="n"/>
      <c r="J284" s="25" t="n"/>
      <c r="K284" s="25" t="n"/>
      <c r="L284" s="25" t="n"/>
      <c r="M284" s="25" t="n"/>
      <c r="N284" s="26" t="n"/>
      <c r="O284" s="26" t="n"/>
      <c r="P284" s="27" t="str">
        <f>IF(OR(J284="",K284="",I284="",AF284=0,AD284=""),"",(K284-J284)*AF284*I284*AD284*AE284)</f>
        <v/>
      </c>
      <c r="Q284" s="26" t="n"/>
      <c r="R284" s="28" t="str">
        <f>IF(Q284&lt;&gt;"",Q284,IF(P284="","",P284-N(N284)+N(O284)))</f>
        <v/>
      </c>
      <c r="S284" s="27" t="str">
        <f>IF(OR(L284="",J284="",I284="",AD284=""),"",ABS(J284-L284)*I284*AD284*AE284)</f>
        <v/>
      </c>
      <c r="T284" s="29" t="str">
        <f>IF(OR(R284="",S284="",S284=0),"",R284/S284)</f>
        <v/>
      </c>
      <c r="U284" s="20" t="str">
        <f>IF(R284="","",IF(R284&gt;0,"Ganadora",IF(R284&lt;0,"Perdedora","BE")))</f>
        <v/>
      </c>
      <c r="V284" s="23" t="n"/>
      <c r="W284" s="23" t="n"/>
      <c r="X284" s="23" t="n"/>
      <c r="Y284" s="23" t="n"/>
      <c r="Z284" s="23" t="n"/>
      <c r="AA284" s="23" t="n"/>
      <c r="AB284" s="30" t="n"/>
      <c r="AC284" s="1" t="n"/>
      <c r="AD284" s="1" t="str">
        <f>IF(G284="","",IFERROR(INDEX('Listas'!$N$6:$N$35,MATCH(G284,'Listas'!$M$6:$M$35,0)),""))</f>
        <v/>
      </c>
      <c r="AE284">
        <f>IF(G284="",1,IFERROR(INDEX('Listas'!$P$6:$P$35,MATCH(G284,'Listas'!$M$6:$M$35,0)),1))</f>
        <v>1</v>
      </c>
      <c r="AF284">
        <f>IF(H284="Compra",1,IF(H284="Venta",-1,0))</f>
        <v>0</v>
      </c>
      <c r="AG284">
        <f>IF(AND(D284&lt;&gt;"",ISNUMBER(R284)),1,0)</f>
        <v>0</v>
      </c>
      <c r="AH284">
        <f>IF(AG284=0,0,IF(OR('Panel'!$D$5="Todas las cuentas",'Panel'!$D$5="",F284='Panel'!$D$5),1,0))</f>
        <v>0</v>
      </c>
      <c r="AI284">
        <f>IF(AH284=0,0,IF(AND(OR('Panel'!$G$5="",D284&gt;='Panel'!$G$5),OR('Panel'!$J$5="",D284&lt;='Panel'!$J$5)),1,0))</f>
        <v>0</v>
      </c>
      <c r="AJ284">
        <f>IF(AI284=1,R284,0)</f>
        <v>0</v>
      </c>
      <c r="AK284" t="str">
        <f>IF(AI284=1,'Panel'!$AB$4+SUM($AJ$5:AJ284),"")</f>
        <v/>
      </c>
      <c r="AL284">
        <f>IF(AI284=0,N(AL283),IF(R284&lt;0,N(AL283)+1,0))</f>
        <v>1</v>
      </c>
      <c r="AM284">
        <f>IF(AI284=0,N(AM283),IF(R284&gt;0,N(AM283)+1,0))</f>
        <v>0</v>
      </c>
      <c r="AN284">
        <f>IF(AI284=1,MAX('Panel'!$AB$4,N(AN283),AK284),N(AN283))</f>
        <v>21371.061500000033</v>
      </c>
      <c r="AO284">
        <f>IF(AI284=1,AN284-AK284,0)</f>
        <v>0</v>
      </c>
      <c r="AP284">
        <f>IF(AND(AI284=1,AN284&gt;0),AO284/AN284,0)</f>
        <v>0</v>
      </c>
      <c r="AQ284" t="str">
        <f>IF(AI284=1,SUM($AI$5:AI284),"")</f>
        <v/>
      </c>
      <c r="AR284" t="str">
        <f>IF(AI284=1,IF(COUNTIFS($D$5:D284,D284,$AI$5:AI284,1)=1,SUMIFS($AJ$5:$AJ$504,$D$5:$D$504,D284),""),"")</f>
        <v/>
      </c>
      <c r="AS284" t="str">
        <f>IF(AG284=1,WEEKDAY(D284,2),"")</f>
        <v/>
      </c>
      <c r="AT284" s="31" t="str">
        <f>IF(AG284=1,DATE(YEAR(D284),MONTH(D284),1),"")</f>
        <v/>
      </c>
      <c r="AU284">
        <f>IF(AG284=0,0,IF(AND(OR('Prop challenge'!$D$7="",F284='Prop challenge'!$D$7),OR('Prop challenge'!$D$9="",D284&gt;='Prop challenge'!$D$9)),1,0))</f>
        <v>0</v>
      </c>
      <c r="AV284">
        <f>IF(AU284=1,IF(COUNTIFS($D$5:D284,D284,$AU$5:AU284,1)=1,1,0),0)</f>
        <v>0</v>
      </c>
      <c r="AW284" t="str">
        <f>IF(AV284=1,SUM($AV$5:AV284),"")</f>
        <v/>
      </c>
      <c r="AX284" t="str">
        <f>IF(AV284=1,SUMIFS($R$5:$R$504,$D$5:$D$504,D284,$AU$5:$AU$504,1),"")</f>
        <v/>
      </c>
    </row>
    <row r="285">
      <c r="A285" s="20" t="str">
        <f>IF(AG285=1,ROW()-4,"")</f>
        <v/>
      </c>
      <c r="B285" s="21" t="n"/>
      <c r="C285" s="22" t="n"/>
      <c r="D285" s="21" t="n"/>
      <c r="E285" s="22" t="n"/>
      <c r="F285" s="23" t="n"/>
      <c r="G285" s="23" t="n"/>
      <c r="H285" s="23" t="n"/>
      <c r="I285" s="24" t="n"/>
      <c r="J285" s="25" t="n"/>
      <c r="K285" s="25" t="n"/>
      <c r="L285" s="25" t="n"/>
      <c r="M285" s="25" t="n"/>
      <c r="N285" s="26" t="n"/>
      <c r="O285" s="26" t="n"/>
      <c r="P285" s="27" t="str">
        <f>IF(OR(J285="",K285="",I285="",AF285=0,AD285=""),"",(K285-J285)*AF285*I285*AD285*AE285)</f>
        <v/>
      </c>
      <c r="Q285" s="26" t="n"/>
      <c r="R285" s="28" t="str">
        <f>IF(Q285&lt;&gt;"",Q285,IF(P285="","",P285-N(N285)+N(O285)))</f>
        <v/>
      </c>
      <c r="S285" s="27" t="str">
        <f>IF(OR(L285="",J285="",I285="",AD285=""),"",ABS(J285-L285)*I285*AD285*AE285)</f>
        <v/>
      </c>
      <c r="T285" s="29" t="str">
        <f>IF(OR(R285="",S285="",S285=0),"",R285/S285)</f>
        <v/>
      </c>
      <c r="U285" s="20" t="str">
        <f>IF(R285="","",IF(R285&gt;0,"Ganadora",IF(R285&lt;0,"Perdedora","BE")))</f>
        <v/>
      </c>
      <c r="V285" s="23" t="n"/>
      <c r="W285" s="23" t="n"/>
      <c r="X285" s="23" t="n"/>
      <c r="Y285" s="23" t="n"/>
      <c r="Z285" s="23" t="n"/>
      <c r="AA285" s="23" t="n"/>
      <c r="AB285" s="30" t="n"/>
      <c r="AC285" s="1" t="n"/>
      <c r="AD285" s="1" t="str">
        <f>IF(G285="","",IFERROR(INDEX('Listas'!$N$6:$N$35,MATCH(G285,'Listas'!$M$6:$M$35,0)),""))</f>
        <v/>
      </c>
      <c r="AE285">
        <f>IF(G285="",1,IFERROR(INDEX('Listas'!$P$6:$P$35,MATCH(G285,'Listas'!$M$6:$M$35,0)),1))</f>
        <v>1</v>
      </c>
      <c r="AF285">
        <f>IF(H285="Compra",1,IF(H285="Venta",-1,0))</f>
        <v>0</v>
      </c>
      <c r="AG285">
        <f>IF(AND(D285&lt;&gt;"",ISNUMBER(R285)),1,0)</f>
        <v>0</v>
      </c>
      <c r="AH285">
        <f>IF(AG285=0,0,IF(OR('Panel'!$D$5="Todas las cuentas",'Panel'!$D$5="",F285='Panel'!$D$5),1,0))</f>
        <v>0</v>
      </c>
      <c r="AI285">
        <f>IF(AH285=0,0,IF(AND(OR('Panel'!$G$5="",D285&gt;='Panel'!$G$5),OR('Panel'!$J$5="",D285&lt;='Panel'!$J$5)),1,0))</f>
        <v>0</v>
      </c>
      <c r="AJ285">
        <f>IF(AI285=1,R285,0)</f>
        <v>0</v>
      </c>
      <c r="AK285" t="str">
        <f>IF(AI285=1,'Panel'!$AB$4+SUM($AJ$5:AJ285),"")</f>
        <v/>
      </c>
      <c r="AL285">
        <f>IF(AI285=0,N(AL284),IF(R285&lt;0,N(AL284)+1,0))</f>
        <v>1</v>
      </c>
      <c r="AM285">
        <f>IF(AI285=0,N(AM284),IF(R285&gt;0,N(AM284)+1,0))</f>
        <v>0</v>
      </c>
      <c r="AN285">
        <f>IF(AI285=1,MAX('Panel'!$AB$4,N(AN284),AK285),N(AN284))</f>
        <v>21371.061500000033</v>
      </c>
      <c r="AO285">
        <f>IF(AI285=1,AN285-AK285,0)</f>
        <v>0</v>
      </c>
      <c r="AP285">
        <f>IF(AND(AI285=1,AN285&gt;0),AO285/AN285,0)</f>
        <v>0</v>
      </c>
      <c r="AQ285" t="str">
        <f>IF(AI285=1,SUM($AI$5:AI285),"")</f>
        <v/>
      </c>
      <c r="AR285" t="str">
        <f>IF(AI285=1,IF(COUNTIFS($D$5:D285,D285,$AI$5:AI285,1)=1,SUMIFS($AJ$5:$AJ$504,$D$5:$D$504,D285),""),"")</f>
        <v/>
      </c>
      <c r="AS285" t="str">
        <f>IF(AG285=1,WEEKDAY(D285,2),"")</f>
        <v/>
      </c>
      <c r="AT285" s="31" t="str">
        <f>IF(AG285=1,DATE(YEAR(D285),MONTH(D285),1),"")</f>
        <v/>
      </c>
      <c r="AU285">
        <f>IF(AG285=0,0,IF(AND(OR('Prop challenge'!$D$7="",F285='Prop challenge'!$D$7),OR('Prop challenge'!$D$9="",D285&gt;='Prop challenge'!$D$9)),1,0))</f>
        <v>0</v>
      </c>
      <c r="AV285">
        <f>IF(AU285=1,IF(COUNTIFS($D$5:D285,D285,$AU$5:AU285,1)=1,1,0),0)</f>
        <v>0</v>
      </c>
      <c r="AW285" t="str">
        <f>IF(AV285=1,SUM($AV$5:AV285),"")</f>
        <v/>
      </c>
      <c r="AX285" t="str">
        <f>IF(AV285=1,SUMIFS($R$5:$R$504,$D$5:$D$504,D285,$AU$5:$AU$504,1),"")</f>
        <v/>
      </c>
    </row>
    <row r="286">
      <c r="A286" s="20" t="str">
        <f>IF(AG286=1,ROW()-4,"")</f>
        <v/>
      </c>
      <c r="B286" s="21" t="n"/>
      <c r="C286" s="22" t="n"/>
      <c r="D286" s="21" t="n"/>
      <c r="E286" s="22" t="n"/>
      <c r="F286" s="23" t="n"/>
      <c r="G286" s="23" t="n"/>
      <c r="H286" s="23" t="n"/>
      <c r="I286" s="24" t="n"/>
      <c r="J286" s="25" t="n"/>
      <c r="K286" s="25" t="n"/>
      <c r="L286" s="25" t="n"/>
      <c r="M286" s="25" t="n"/>
      <c r="N286" s="26" t="n"/>
      <c r="O286" s="26" t="n"/>
      <c r="P286" s="27" t="str">
        <f>IF(OR(J286="",K286="",I286="",AF286=0,AD286=""),"",(K286-J286)*AF286*I286*AD286*AE286)</f>
        <v/>
      </c>
      <c r="Q286" s="26" t="n"/>
      <c r="R286" s="28" t="str">
        <f>IF(Q286&lt;&gt;"",Q286,IF(P286="","",P286-N(N286)+N(O286)))</f>
        <v/>
      </c>
      <c r="S286" s="27" t="str">
        <f>IF(OR(L286="",J286="",I286="",AD286=""),"",ABS(J286-L286)*I286*AD286*AE286)</f>
        <v/>
      </c>
      <c r="T286" s="29" t="str">
        <f>IF(OR(R286="",S286="",S286=0),"",R286/S286)</f>
        <v/>
      </c>
      <c r="U286" s="20" t="str">
        <f>IF(R286="","",IF(R286&gt;0,"Ganadora",IF(R286&lt;0,"Perdedora","BE")))</f>
        <v/>
      </c>
      <c r="V286" s="23" t="n"/>
      <c r="W286" s="23" t="n"/>
      <c r="X286" s="23" t="n"/>
      <c r="Y286" s="23" t="n"/>
      <c r="Z286" s="23" t="n"/>
      <c r="AA286" s="23" t="n"/>
      <c r="AB286" s="30" t="n"/>
      <c r="AC286" s="1" t="n"/>
      <c r="AD286" s="1" t="str">
        <f>IF(G286="","",IFERROR(INDEX('Listas'!$N$6:$N$35,MATCH(G286,'Listas'!$M$6:$M$35,0)),""))</f>
        <v/>
      </c>
      <c r="AE286">
        <f>IF(G286="",1,IFERROR(INDEX('Listas'!$P$6:$P$35,MATCH(G286,'Listas'!$M$6:$M$35,0)),1))</f>
        <v>1</v>
      </c>
      <c r="AF286">
        <f>IF(H286="Compra",1,IF(H286="Venta",-1,0))</f>
        <v>0</v>
      </c>
      <c r="AG286">
        <f>IF(AND(D286&lt;&gt;"",ISNUMBER(R286)),1,0)</f>
        <v>0</v>
      </c>
      <c r="AH286">
        <f>IF(AG286=0,0,IF(OR('Panel'!$D$5="Todas las cuentas",'Panel'!$D$5="",F286='Panel'!$D$5),1,0))</f>
        <v>0</v>
      </c>
      <c r="AI286">
        <f>IF(AH286=0,0,IF(AND(OR('Panel'!$G$5="",D286&gt;='Panel'!$G$5),OR('Panel'!$J$5="",D286&lt;='Panel'!$J$5)),1,0))</f>
        <v>0</v>
      </c>
      <c r="AJ286">
        <f>IF(AI286=1,R286,0)</f>
        <v>0</v>
      </c>
      <c r="AK286" t="str">
        <f>IF(AI286=1,'Panel'!$AB$4+SUM($AJ$5:AJ286),"")</f>
        <v/>
      </c>
      <c r="AL286">
        <f>IF(AI286=0,N(AL285),IF(R286&lt;0,N(AL285)+1,0))</f>
        <v>1</v>
      </c>
      <c r="AM286">
        <f>IF(AI286=0,N(AM285),IF(R286&gt;0,N(AM285)+1,0))</f>
        <v>0</v>
      </c>
      <c r="AN286">
        <f>IF(AI286=1,MAX('Panel'!$AB$4,N(AN285),AK286),N(AN285))</f>
        <v>21371.061500000033</v>
      </c>
      <c r="AO286">
        <f>IF(AI286=1,AN286-AK286,0)</f>
        <v>0</v>
      </c>
      <c r="AP286">
        <f>IF(AND(AI286=1,AN286&gt;0),AO286/AN286,0)</f>
        <v>0</v>
      </c>
      <c r="AQ286" t="str">
        <f>IF(AI286=1,SUM($AI$5:AI286),"")</f>
        <v/>
      </c>
      <c r="AR286" t="str">
        <f>IF(AI286=1,IF(COUNTIFS($D$5:D286,D286,$AI$5:AI286,1)=1,SUMIFS($AJ$5:$AJ$504,$D$5:$D$504,D286),""),"")</f>
        <v/>
      </c>
      <c r="AS286" t="str">
        <f>IF(AG286=1,WEEKDAY(D286,2),"")</f>
        <v/>
      </c>
      <c r="AT286" s="31" t="str">
        <f>IF(AG286=1,DATE(YEAR(D286),MONTH(D286),1),"")</f>
        <v/>
      </c>
      <c r="AU286">
        <f>IF(AG286=0,0,IF(AND(OR('Prop challenge'!$D$7="",F286='Prop challenge'!$D$7),OR('Prop challenge'!$D$9="",D286&gt;='Prop challenge'!$D$9)),1,0))</f>
        <v>0</v>
      </c>
      <c r="AV286">
        <f>IF(AU286=1,IF(COUNTIFS($D$5:D286,D286,$AU$5:AU286,1)=1,1,0),0)</f>
        <v>0</v>
      </c>
      <c r="AW286" t="str">
        <f>IF(AV286=1,SUM($AV$5:AV286),"")</f>
        <v/>
      </c>
      <c r="AX286" t="str">
        <f>IF(AV286=1,SUMIFS($R$5:$R$504,$D$5:$D$504,D286,$AU$5:$AU$504,1),"")</f>
        <v/>
      </c>
    </row>
    <row r="287">
      <c r="A287" s="20" t="str">
        <f>IF(AG287=1,ROW()-4,"")</f>
        <v/>
      </c>
      <c r="B287" s="21" t="n"/>
      <c r="C287" s="22" t="n"/>
      <c r="D287" s="21" t="n"/>
      <c r="E287" s="22" t="n"/>
      <c r="F287" s="23" t="n"/>
      <c r="G287" s="23" t="n"/>
      <c r="H287" s="23" t="n"/>
      <c r="I287" s="24" t="n"/>
      <c r="J287" s="25" t="n"/>
      <c r="K287" s="25" t="n"/>
      <c r="L287" s="25" t="n"/>
      <c r="M287" s="25" t="n"/>
      <c r="N287" s="26" t="n"/>
      <c r="O287" s="26" t="n"/>
      <c r="P287" s="27" t="str">
        <f>IF(OR(J287="",K287="",I287="",AF287=0,AD287=""),"",(K287-J287)*AF287*I287*AD287*AE287)</f>
        <v/>
      </c>
      <c r="Q287" s="26" t="n"/>
      <c r="R287" s="28" t="str">
        <f>IF(Q287&lt;&gt;"",Q287,IF(P287="","",P287-N(N287)+N(O287)))</f>
        <v/>
      </c>
      <c r="S287" s="27" t="str">
        <f>IF(OR(L287="",J287="",I287="",AD287=""),"",ABS(J287-L287)*I287*AD287*AE287)</f>
        <v/>
      </c>
      <c r="T287" s="29" t="str">
        <f>IF(OR(R287="",S287="",S287=0),"",R287/S287)</f>
        <v/>
      </c>
      <c r="U287" s="20" t="str">
        <f>IF(R287="","",IF(R287&gt;0,"Ganadora",IF(R287&lt;0,"Perdedora","BE")))</f>
        <v/>
      </c>
      <c r="V287" s="23" t="n"/>
      <c r="W287" s="23" t="n"/>
      <c r="X287" s="23" t="n"/>
      <c r="Y287" s="23" t="n"/>
      <c r="Z287" s="23" t="n"/>
      <c r="AA287" s="23" t="n"/>
      <c r="AB287" s="30" t="n"/>
      <c r="AC287" s="1" t="n"/>
      <c r="AD287" s="1" t="str">
        <f>IF(G287="","",IFERROR(INDEX('Listas'!$N$6:$N$35,MATCH(G287,'Listas'!$M$6:$M$35,0)),""))</f>
        <v/>
      </c>
      <c r="AE287">
        <f>IF(G287="",1,IFERROR(INDEX('Listas'!$P$6:$P$35,MATCH(G287,'Listas'!$M$6:$M$35,0)),1))</f>
        <v>1</v>
      </c>
      <c r="AF287">
        <f>IF(H287="Compra",1,IF(H287="Venta",-1,0))</f>
        <v>0</v>
      </c>
      <c r="AG287">
        <f>IF(AND(D287&lt;&gt;"",ISNUMBER(R287)),1,0)</f>
        <v>0</v>
      </c>
      <c r="AH287">
        <f>IF(AG287=0,0,IF(OR('Panel'!$D$5="Todas las cuentas",'Panel'!$D$5="",F287='Panel'!$D$5),1,0))</f>
        <v>0</v>
      </c>
      <c r="AI287">
        <f>IF(AH287=0,0,IF(AND(OR('Panel'!$G$5="",D287&gt;='Panel'!$G$5),OR('Panel'!$J$5="",D287&lt;='Panel'!$J$5)),1,0))</f>
        <v>0</v>
      </c>
      <c r="AJ287">
        <f>IF(AI287=1,R287,0)</f>
        <v>0</v>
      </c>
      <c r="AK287" t="str">
        <f>IF(AI287=1,'Panel'!$AB$4+SUM($AJ$5:AJ287),"")</f>
        <v/>
      </c>
      <c r="AL287">
        <f>IF(AI287=0,N(AL286),IF(R287&lt;0,N(AL286)+1,0))</f>
        <v>1</v>
      </c>
      <c r="AM287">
        <f>IF(AI287=0,N(AM286),IF(R287&gt;0,N(AM286)+1,0))</f>
        <v>0</v>
      </c>
      <c r="AN287">
        <f>IF(AI287=1,MAX('Panel'!$AB$4,N(AN286),AK287),N(AN286))</f>
        <v>21371.061500000033</v>
      </c>
      <c r="AO287">
        <f>IF(AI287=1,AN287-AK287,0)</f>
        <v>0</v>
      </c>
      <c r="AP287">
        <f>IF(AND(AI287=1,AN287&gt;0),AO287/AN287,0)</f>
        <v>0</v>
      </c>
      <c r="AQ287" t="str">
        <f>IF(AI287=1,SUM($AI$5:AI287),"")</f>
        <v/>
      </c>
      <c r="AR287" t="str">
        <f>IF(AI287=1,IF(COUNTIFS($D$5:D287,D287,$AI$5:AI287,1)=1,SUMIFS($AJ$5:$AJ$504,$D$5:$D$504,D287),""),"")</f>
        <v/>
      </c>
      <c r="AS287" t="str">
        <f>IF(AG287=1,WEEKDAY(D287,2),"")</f>
        <v/>
      </c>
      <c r="AT287" s="31" t="str">
        <f>IF(AG287=1,DATE(YEAR(D287),MONTH(D287),1),"")</f>
        <v/>
      </c>
      <c r="AU287">
        <f>IF(AG287=0,0,IF(AND(OR('Prop challenge'!$D$7="",F287='Prop challenge'!$D$7),OR('Prop challenge'!$D$9="",D287&gt;='Prop challenge'!$D$9)),1,0))</f>
        <v>0</v>
      </c>
      <c r="AV287">
        <f>IF(AU287=1,IF(COUNTIFS($D$5:D287,D287,$AU$5:AU287,1)=1,1,0),0)</f>
        <v>0</v>
      </c>
      <c r="AW287" t="str">
        <f>IF(AV287=1,SUM($AV$5:AV287),"")</f>
        <v/>
      </c>
      <c r="AX287" t="str">
        <f>IF(AV287=1,SUMIFS($R$5:$R$504,$D$5:$D$504,D287,$AU$5:$AU$504,1),"")</f>
        <v/>
      </c>
    </row>
    <row r="288">
      <c r="A288" s="20" t="str">
        <f>IF(AG288=1,ROW()-4,"")</f>
        <v/>
      </c>
      <c r="B288" s="21" t="n"/>
      <c r="C288" s="22" t="n"/>
      <c r="D288" s="21" t="n"/>
      <c r="E288" s="22" t="n"/>
      <c r="F288" s="23" t="n"/>
      <c r="G288" s="23" t="n"/>
      <c r="H288" s="23" t="n"/>
      <c r="I288" s="24" t="n"/>
      <c r="J288" s="25" t="n"/>
      <c r="K288" s="25" t="n"/>
      <c r="L288" s="25" t="n"/>
      <c r="M288" s="25" t="n"/>
      <c r="N288" s="26" t="n"/>
      <c r="O288" s="26" t="n"/>
      <c r="P288" s="27" t="str">
        <f>IF(OR(J288="",K288="",I288="",AF288=0,AD288=""),"",(K288-J288)*AF288*I288*AD288*AE288)</f>
        <v/>
      </c>
      <c r="Q288" s="26" t="n"/>
      <c r="R288" s="28" t="str">
        <f>IF(Q288&lt;&gt;"",Q288,IF(P288="","",P288-N(N288)+N(O288)))</f>
        <v/>
      </c>
      <c r="S288" s="27" t="str">
        <f>IF(OR(L288="",J288="",I288="",AD288=""),"",ABS(J288-L288)*I288*AD288*AE288)</f>
        <v/>
      </c>
      <c r="T288" s="29" t="str">
        <f>IF(OR(R288="",S288="",S288=0),"",R288/S288)</f>
        <v/>
      </c>
      <c r="U288" s="20" t="str">
        <f>IF(R288="","",IF(R288&gt;0,"Ganadora",IF(R288&lt;0,"Perdedora","BE")))</f>
        <v/>
      </c>
      <c r="V288" s="23" t="n"/>
      <c r="W288" s="23" t="n"/>
      <c r="X288" s="23" t="n"/>
      <c r="Y288" s="23" t="n"/>
      <c r="Z288" s="23" t="n"/>
      <c r="AA288" s="23" t="n"/>
      <c r="AB288" s="30" t="n"/>
      <c r="AC288" s="1" t="n"/>
      <c r="AD288" s="1" t="str">
        <f>IF(G288="","",IFERROR(INDEX('Listas'!$N$6:$N$35,MATCH(G288,'Listas'!$M$6:$M$35,0)),""))</f>
        <v/>
      </c>
      <c r="AE288">
        <f>IF(G288="",1,IFERROR(INDEX('Listas'!$P$6:$P$35,MATCH(G288,'Listas'!$M$6:$M$35,0)),1))</f>
        <v>1</v>
      </c>
      <c r="AF288">
        <f>IF(H288="Compra",1,IF(H288="Venta",-1,0))</f>
        <v>0</v>
      </c>
      <c r="AG288">
        <f>IF(AND(D288&lt;&gt;"",ISNUMBER(R288)),1,0)</f>
        <v>0</v>
      </c>
      <c r="AH288">
        <f>IF(AG288=0,0,IF(OR('Panel'!$D$5="Todas las cuentas",'Panel'!$D$5="",F288='Panel'!$D$5),1,0))</f>
        <v>0</v>
      </c>
      <c r="AI288">
        <f>IF(AH288=0,0,IF(AND(OR('Panel'!$G$5="",D288&gt;='Panel'!$G$5),OR('Panel'!$J$5="",D288&lt;='Panel'!$J$5)),1,0))</f>
        <v>0</v>
      </c>
      <c r="AJ288">
        <f>IF(AI288=1,R288,0)</f>
        <v>0</v>
      </c>
      <c r="AK288" t="str">
        <f>IF(AI288=1,'Panel'!$AB$4+SUM($AJ$5:AJ288),"")</f>
        <v/>
      </c>
      <c r="AL288">
        <f>IF(AI288=0,N(AL287),IF(R288&lt;0,N(AL287)+1,0))</f>
        <v>1</v>
      </c>
      <c r="AM288">
        <f>IF(AI288=0,N(AM287),IF(R288&gt;0,N(AM287)+1,0))</f>
        <v>0</v>
      </c>
      <c r="AN288">
        <f>IF(AI288=1,MAX('Panel'!$AB$4,N(AN287),AK288),N(AN287))</f>
        <v>21371.061500000033</v>
      </c>
      <c r="AO288">
        <f>IF(AI288=1,AN288-AK288,0)</f>
        <v>0</v>
      </c>
      <c r="AP288">
        <f>IF(AND(AI288=1,AN288&gt;0),AO288/AN288,0)</f>
        <v>0</v>
      </c>
      <c r="AQ288" t="str">
        <f>IF(AI288=1,SUM($AI$5:AI288),"")</f>
        <v/>
      </c>
      <c r="AR288" t="str">
        <f>IF(AI288=1,IF(COUNTIFS($D$5:D288,D288,$AI$5:AI288,1)=1,SUMIFS($AJ$5:$AJ$504,$D$5:$D$504,D288),""),"")</f>
        <v/>
      </c>
      <c r="AS288" t="str">
        <f>IF(AG288=1,WEEKDAY(D288,2),"")</f>
        <v/>
      </c>
      <c r="AT288" s="31" t="str">
        <f>IF(AG288=1,DATE(YEAR(D288),MONTH(D288),1),"")</f>
        <v/>
      </c>
      <c r="AU288">
        <f>IF(AG288=0,0,IF(AND(OR('Prop challenge'!$D$7="",F288='Prop challenge'!$D$7),OR('Prop challenge'!$D$9="",D288&gt;='Prop challenge'!$D$9)),1,0))</f>
        <v>0</v>
      </c>
      <c r="AV288">
        <f>IF(AU288=1,IF(COUNTIFS($D$5:D288,D288,$AU$5:AU288,1)=1,1,0),0)</f>
        <v>0</v>
      </c>
      <c r="AW288" t="str">
        <f>IF(AV288=1,SUM($AV$5:AV288),"")</f>
        <v/>
      </c>
      <c r="AX288" t="str">
        <f>IF(AV288=1,SUMIFS($R$5:$R$504,$D$5:$D$504,D288,$AU$5:$AU$504,1),"")</f>
        <v/>
      </c>
    </row>
    <row r="289">
      <c r="A289" s="20" t="str">
        <f>IF(AG289=1,ROW()-4,"")</f>
        <v/>
      </c>
      <c r="B289" s="21" t="n"/>
      <c r="C289" s="22" t="n"/>
      <c r="D289" s="21" t="n"/>
      <c r="E289" s="22" t="n"/>
      <c r="F289" s="23" t="n"/>
      <c r="G289" s="23" t="n"/>
      <c r="H289" s="23" t="n"/>
      <c r="I289" s="24" t="n"/>
      <c r="J289" s="25" t="n"/>
      <c r="K289" s="25" t="n"/>
      <c r="L289" s="25" t="n"/>
      <c r="M289" s="25" t="n"/>
      <c r="N289" s="26" t="n"/>
      <c r="O289" s="26" t="n"/>
      <c r="P289" s="27" t="str">
        <f>IF(OR(J289="",K289="",I289="",AF289=0,AD289=""),"",(K289-J289)*AF289*I289*AD289*AE289)</f>
        <v/>
      </c>
      <c r="Q289" s="26" t="n"/>
      <c r="R289" s="28" t="str">
        <f>IF(Q289&lt;&gt;"",Q289,IF(P289="","",P289-N(N289)+N(O289)))</f>
        <v/>
      </c>
      <c r="S289" s="27" t="str">
        <f>IF(OR(L289="",J289="",I289="",AD289=""),"",ABS(J289-L289)*I289*AD289*AE289)</f>
        <v/>
      </c>
      <c r="T289" s="29" t="str">
        <f>IF(OR(R289="",S289="",S289=0),"",R289/S289)</f>
        <v/>
      </c>
      <c r="U289" s="20" t="str">
        <f>IF(R289="","",IF(R289&gt;0,"Ganadora",IF(R289&lt;0,"Perdedora","BE")))</f>
        <v/>
      </c>
      <c r="V289" s="23" t="n"/>
      <c r="W289" s="23" t="n"/>
      <c r="X289" s="23" t="n"/>
      <c r="Y289" s="23" t="n"/>
      <c r="Z289" s="23" t="n"/>
      <c r="AA289" s="23" t="n"/>
      <c r="AB289" s="30" t="n"/>
      <c r="AC289" s="1" t="n"/>
      <c r="AD289" s="1" t="str">
        <f>IF(G289="","",IFERROR(INDEX('Listas'!$N$6:$N$35,MATCH(G289,'Listas'!$M$6:$M$35,0)),""))</f>
        <v/>
      </c>
      <c r="AE289">
        <f>IF(G289="",1,IFERROR(INDEX('Listas'!$P$6:$P$35,MATCH(G289,'Listas'!$M$6:$M$35,0)),1))</f>
        <v>1</v>
      </c>
      <c r="AF289">
        <f>IF(H289="Compra",1,IF(H289="Venta",-1,0))</f>
        <v>0</v>
      </c>
      <c r="AG289">
        <f>IF(AND(D289&lt;&gt;"",ISNUMBER(R289)),1,0)</f>
        <v>0</v>
      </c>
      <c r="AH289">
        <f>IF(AG289=0,0,IF(OR('Panel'!$D$5="Todas las cuentas",'Panel'!$D$5="",F289='Panel'!$D$5),1,0))</f>
        <v>0</v>
      </c>
      <c r="AI289">
        <f>IF(AH289=0,0,IF(AND(OR('Panel'!$G$5="",D289&gt;='Panel'!$G$5),OR('Panel'!$J$5="",D289&lt;='Panel'!$J$5)),1,0))</f>
        <v>0</v>
      </c>
      <c r="AJ289">
        <f>IF(AI289=1,R289,0)</f>
        <v>0</v>
      </c>
      <c r="AK289" t="str">
        <f>IF(AI289=1,'Panel'!$AB$4+SUM($AJ$5:AJ289),"")</f>
        <v/>
      </c>
      <c r="AL289">
        <f>IF(AI289=0,N(AL288),IF(R289&lt;0,N(AL288)+1,0))</f>
        <v>1</v>
      </c>
      <c r="AM289">
        <f>IF(AI289=0,N(AM288),IF(R289&gt;0,N(AM288)+1,0))</f>
        <v>0</v>
      </c>
      <c r="AN289">
        <f>IF(AI289=1,MAX('Panel'!$AB$4,N(AN288),AK289),N(AN288))</f>
        <v>21371.061500000033</v>
      </c>
      <c r="AO289">
        <f>IF(AI289=1,AN289-AK289,0)</f>
        <v>0</v>
      </c>
      <c r="AP289">
        <f>IF(AND(AI289=1,AN289&gt;0),AO289/AN289,0)</f>
        <v>0</v>
      </c>
      <c r="AQ289" t="str">
        <f>IF(AI289=1,SUM($AI$5:AI289),"")</f>
        <v/>
      </c>
      <c r="AR289" t="str">
        <f>IF(AI289=1,IF(COUNTIFS($D$5:D289,D289,$AI$5:AI289,1)=1,SUMIFS($AJ$5:$AJ$504,$D$5:$D$504,D289),""),"")</f>
        <v/>
      </c>
      <c r="AS289" t="str">
        <f>IF(AG289=1,WEEKDAY(D289,2),"")</f>
        <v/>
      </c>
      <c r="AT289" s="31" t="str">
        <f>IF(AG289=1,DATE(YEAR(D289),MONTH(D289),1),"")</f>
        <v/>
      </c>
      <c r="AU289">
        <f>IF(AG289=0,0,IF(AND(OR('Prop challenge'!$D$7="",F289='Prop challenge'!$D$7),OR('Prop challenge'!$D$9="",D289&gt;='Prop challenge'!$D$9)),1,0))</f>
        <v>0</v>
      </c>
      <c r="AV289">
        <f>IF(AU289=1,IF(COUNTIFS($D$5:D289,D289,$AU$5:AU289,1)=1,1,0),0)</f>
        <v>0</v>
      </c>
      <c r="AW289" t="str">
        <f>IF(AV289=1,SUM($AV$5:AV289),"")</f>
        <v/>
      </c>
      <c r="AX289" t="str">
        <f>IF(AV289=1,SUMIFS($R$5:$R$504,$D$5:$D$504,D289,$AU$5:$AU$504,1),"")</f>
        <v/>
      </c>
    </row>
    <row r="290">
      <c r="A290" s="20" t="str">
        <f>IF(AG290=1,ROW()-4,"")</f>
        <v/>
      </c>
      <c r="B290" s="21" t="n"/>
      <c r="C290" s="22" t="n"/>
      <c r="D290" s="21" t="n"/>
      <c r="E290" s="22" t="n"/>
      <c r="F290" s="23" t="n"/>
      <c r="G290" s="23" t="n"/>
      <c r="H290" s="23" t="n"/>
      <c r="I290" s="24" t="n"/>
      <c r="J290" s="25" t="n"/>
      <c r="K290" s="25" t="n"/>
      <c r="L290" s="25" t="n"/>
      <c r="M290" s="25" t="n"/>
      <c r="N290" s="26" t="n"/>
      <c r="O290" s="26" t="n"/>
      <c r="P290" s="27" t="str">
        <f>IF(OR(J290="",K290="",I290="",AF290=0,AD290=""),"",(K290-J290)*AF290*I290*AD290*AE290)</f>
        <v/>
      </c>
      <c r="Q290" s="26" t="n"/>
      <c r="R290" s="28" t="str">
        <f>IF(Q290&lt;&gt;"",Q290,IF(P290="","",P290-N(N290)+N(O290)))</f>
        <v/>
      </c>
      <c r="S290" s="27" t="str">
        <f>IF(OR(L290="",J290="",I290="",AD290=""),"",ABS(J290-L290)*I290*AD290*AE290)</f>
        <v/>
      </c>
      <c r="T290" s="29" t="str">
        <f>IF(OR(R290="",S290="",S290=0),"",R290/S290)</f>
        <v/>
      </c>
      <c r="U290" s="20" t="str">
        <f>IF(R290="","",IF(R290&gt;0,"Ganadora",IF(R290&lt;0,"Perdedora","BE")))</f>
        <v/>
      </c>
      <c r="V290" s="23" t="n"/>
      <c r="W290" s="23" t="n"/>
      <c r="X290" s="23" t="n"/>
      <c r="Y290" s="23" t="n"/>
      <c r="Z290" s="23" t="n"/>
      <c r="AA290" s="23" t="n"/>
      <c r="AB290" s="30" t="n"/>
      <c r="AC290" s="1" t="n"/>
      <c r="AD290" s="1" t="str">
        <f>IF(G290="","",IFERROR(INDEX('Listas'!$N$6:$N$35,MATCH(G290,'Listas'!$M$6:$M$35,0)),""))</f>
        <v/>
      </c>
      <c r="AE290">
        <f>IF(G290="",1,IFERROR(INDEX('Listas'!$P$6:$P$35,MATCH(G290,'Listas'!$M$6:$M$35,0)),1))</f>
        <v>1</v>
      </c>
      <c r="AF290">
        <f>IF(H290="Compra",1,IF(H290="Venta",-1,0))</f>
        <v>0</v>
      </c>
      <c r="AG290">
        <f>IF(AND(D290&lt;&gt;"",ISNUMBER(R290)),1,0)</f>
        <v>0</v>
      </c>
      <c r="AH290">
        <f>IF(AG290=0,0,IF(OR('Panel'!$D$5="Todas las cuentas",'Panel'!$D$5="",F290='Panel'!$D$5),1,0))</f>
        <v>0</v>
      </c>
      <c r="AI290">
        <f>IF(AH290=0,0,IF(AND(OR('Panel'!$G$5="",D290&gt;='Panel'!$G$5),OR('Panel'!$J$5="",D290&lt;='Panel'!$J$5)),1,0))</f>
        <v>0</v>
      </c>
      <c r="AJ290">
        <f>IF(AI290=1,R290,0)</f>
        <v>0</v>
      </c>
      <c r="AK290" t="str">
        <f>IF(AI290=1,'Panel'!$AB$4+SUM($AJ$5:AJ290),"")</f>
        <v/>
      </c>
      <c r="AL290">
        <f>IF(AI290=0,N(AL289),IF(R290&lt;0,N(AL289)+1,0))</f>
        <v>1</v>
      </c>
      <c r="AM290">
        <f>IF(AI290=0,N(AM289),IF(R290&gt;0,N(AM289)+1,0))</f>
        <v>0</v>
      </c>
      <c r="AN290">
        <f>IF(AI290=1,MAX('Panel'!$AB$4,N(AN289),AK290),N(AN289))</f>
        <v>21371.061500000033</v>
      </c>
      <c r="AO290">
        <f>IF(AI290=1,AN290-AK290,0)</f>
        <v>0</v>
      </c>
      <c r="AP290">
        <f>IF(AND(AI290=1,AN290&gt;0),AO290/AN290,0)</f>
        <v>0</v>
      </c>
      <c r="AQ290" t="str">
        <f>IF(AI290=1,SUM($AI$5:AI290),"")</f>
        <v/>
      </c>
      <c r="AR290" t="str">
        <f>IF(AI290=1,IF(COUNTIFS($D$5:D290,D290,$AI$5:AI290,1)=1,SUMIFS($AJ$5:$AJ$504,$D$5:$D$504,D290),""),"")</f>
        <v/>
      </c>
      <c r="AS290" t="str">
        <f>IF(AG290=1,WEEKDAY(D290,2),"")</f>
        <v/>
      </c>
      <c r="AT290" s="31" t="str">
        <f>IF(AG290=1,DATE(YEAR(D290),MONTH(D290),1),"")</f>
        <v/>
      </c>
      <c r="AU290">
        <f>IF(AG290=0,0,IF(AND(OR('Prop challenge'!$D$7="",F290='Prop challenge'!$D$7),OR('Prop challenge'!$D$9="",D290&gt;='Prop challenge'!$D$9)),1,0))</f>
        <v>0</v>
      </c>
      <c r="AV290">
        <f>IF(AU290=1,IF(COUNTIFS($D$5:D290,D290,$AU$5:AU290,1)=1,1,0),0)</f>
        <v>0</v>
      </c>
      <c r="AW290" t="str">
        <f>IF(AV290=1,SUM($AV$5:AV290),"")</f>
        <v/>
      </c>
      <c r="AX290" t="str">
        <f>IF(AV290=1,SUMIFS($R$5:$R$504,$D$5:$D$504,D290,$AU$5:$AU$504,1),"")</f>
        <v/>
      </c>
    </row>
    <row r="291">
      <c r="A291" s="20" t="str">
        <f>IF(AG291=1,ROW()-4,"")</f>
        <v/>
      </c>
      <c r="B291" s="21" t="n"/>
      <c r="C291" s="22" t="n"/>
      <c r="D291" s="21" t="n"/>
      <c r="E291" s="22" t="n"/>
      <c r="F291" s="23" t="n"/>
      <c r="G291" s="23" t="n"/>
      <c r="H291" s="23" t="n"/>
      <c r="I291" s="24" t="n"/>
      <c r="J291" s="25" t="n"/>
      <c r="K291" s="25" t="n"/>
      <c r="L291" s="25" t="n"/>
      <c r="M291" s="25" t="n"/>
      <c r="N291" s="26" t="n"/>
      <c r="O291" s="26" t="n"/>
      <c r="P291" s="27" t="str">
        <f>IF(OR(J291="",K291="",I291="",AF291=0,AD291=""),"",(K291-J291)*AF291*I291*AD291*AE291)</f>
        <v/>
      </c>
      <c r="Q291" s="26" t="n"/>
      <c r="R291" s="28" t="str">
        <f>IF(Q291&lt;&gt;"",Q291,IF(P291="","",P291-N(N291)+N(O291)))</f>
        <v/>
      </c>
      <c r="S291" s="27" t="str">
        <f>IF(OR(L291="",J291="",I291="",AD291=""),"",ABS(J291-L291)*I291*AD291*AE291)</f>
        <v/>
      </c>
      <c r="T291" s="29" t="str">
        <f>IF(OR(R291="",S291="",S291=0),"",R291/S291)</f>
        <v/>
      </c>
      <c r="U291" s="20" t="str">
        <f>IF(R291="","",IF(R291&gt;0,"Ganadora",IF(R291&lt;0,"Perdedora","BE")))</f>
        <v/>
      </c>
      <c r="V291" s="23" t="n"/>
      <c r="W291" s="23" t="n"/>
      <c r="X291" s="23" t="n"/>
      <c r="Y291" s="23" t="n"/>
      <c r="Z291" s="23" t="n"/>
      <c r="AA291" s="23" t="n"/>
      <c r="AB291" s="30" t="n"/>
      <c r="AC291" s="1" t="n"/>
      <c r="AD291" s="1" t="str">
        <f>IF(G291="","",IFERROR(INDEX('Listas'!$N$6:$N$35,MATCH(G291,'Listas'!$M$6:$M$35,0)),""))</f>
        <v/>
      </c>
      <c r="AE291">
        <f>IF(G291="",1,IFERROR(INDEX('Listas'!$P$6:$P$35,MATCH(G291,'Listas'!$M$6:$M$35,0)),1))</f>
        <v>1</v>
      </c>
      <c r="AF291">
        <f>IF(H291="Compra",1,IF(H291="Venta",-1,0))</f>
        <v>0</v>
      </c>
      <c r="AG291">
        <f>IF(AND(D291&lt;&gt;"",ISNUMBER(R291)),1,0)</f>
        <v>0</v>
      </c>
      <c r="AH291">
        <f>IF(AG291=0,0,IF(OR('Panel'!$D$5="Todas las cuentas",'Panel'!$D$5="",F291='Panel'!$D$5),1,0))</f>
        <v>0</v>
      </c>
      <c r="AI291">
        <f>IF(AH291=0,0,IF(AND(OR('Panel'!$G$5="",D291&gt;='Panel'!$G$5),OR('Panel'!$J$5="",D291&lt;='Panel'!$J$5)),1,0))</f>
        <v>0</v>
      </c>
      <c r="AJ291">
        <f>IF(AI291=1,R291,0)</f>
        <v>0</v>
      </c>
      <c r="AK291" t="str">
        <f>IF(AI291=1,'Panel'!$AB$4+SUM($AJ$5:AJ291),"")</f>
        <v/>
      </c>
      <c r="AL291">
        <f>IF(AI291=0,N(AL290),IF(R291&lt;0,N(AL290)+1,0))</f>
        <v>1</v>
      </c>
      <c r="AM291">
        <f>IF(AI291=0,N(AM290),IF(R291&gt;0,N(AM290)+1,0))</f>
        <v>0</v>
      </c>
      <c r="AN291">
        <f>IF(AI291=1,MAX('Panel'!$AB$4,N(AN290),AK291),N(AN290))</f>
        <v>21371.061500000033</v>
      </c>
      <c r="AO291">
        <f>IF(AI291=1,AN291-AK291,0)</f>
        <v>0</v>
      </c>
      <c r="AP291">
        <f>IF(AND(AI291=1,AN291&gt;0),AO291/AN291,0)</f>
        <v>0</v>
      </c>
      <c r="AQ291" t="str">
        <f>IF(AI291=1,SUM($AI$5:AI291),"")</f>
        <v/>
      </c>
      <c r="AR291" t="str">
        <f>IF(AI291=1,IF(COUNTIFS($D$5:D291,D291,$AI$5:AI291,1)=1,SUMIFS($AJ$5:$AJ$504,$D$5:$D$504,D291),""),"")</f>
        <v/>
      </c>
      <c r="AS291" t="str">
        <f>IF(AG291=1,WEEKDAY(D291,2),"")</f>
        <v/>
      </c>
      <c r="AT291" s="31" t="str">
        <f>IF(AG291=1,DATE(YEAR(D291),MONTH(D291),1),"")</f>
        <v/>
      </c>
      <c r="AU291">
        <f>IF(AG291=0,0,IF(AND(OR('Prop challenge'!$D$7="",F291='Prop challenge'!$D$7),OR('Prop challenge'!$D$9="",D291&gt;='Prop challenge'!$D$9)),1,0))</f>
        <v>0</v>
      </c>
      <c r="AV291">
        <f>IF(AU291=1,IF(COUNTIFS($D$5:D291,D291,$AU$5:AU291,1)=1,1,0),0)</f>
        <v>0</v>
      </c>
      <c r="AW291" t="str">
        <f>IF(AV291=1,SUM($AV$5:AV291),"")</f>
        <v/>
      </c>
      <c r="AX291" t="str">
        <f>IF(AV291=1,SUMIFS($R$5:$R$504,$D$5:$D$504,D291,$AU$5:$AU$504,1),"")</f>
        <v/>
      </c>
    </row>
    <row r="292">
      <c r="A292" s="20" t="str">
        <f>IF(AG292=1,ROW()-4,"")</f>
        <v/>
      </c>
      <c r="B292" s="21" t="n"/>
      <c r="C292" s="22" t="n"/>
      <c r="D292" s="21" t="n"/>
      <c r="E292" s="22" t="n"/>
      <c r="F292" s="23" t="n"/>
      <c r="G292" s="23" t="n"/>
      <c r="H292" s="23" t="n"/>
      <c r="I292" s="24" t="n"/>
      <c r="J292" s="25" t="n"/>
      <c r="K292" s="25" t="n"/>
      <c r="L292" s="25" t="n"/>
      <c r="M292" s="25" t="n"/>
      <c r="N292" s="26" t="n"/>
      <c r="O292" s="26" t="n"/>
      <c r="P292" s="27" t="str">
        <f>IF(OR(J292="",K292="",I292="",AF292=0,AD292=""),"",(K292-J292)*AF292*I292*AD292*AE292)</f>
        <v/>
      </c>
      <c r="Q292" s="26" t="n"/>
      <c r="R292" s="28" t="str">
        <f>IF(Q292&lt;&gt;"",Q292,IF(P292="","",P292-N(N292)+N(O292)))</f>
        <v/>
      </c>
      <c r="S292" s="27" t="str">
        <f>IF(OR(L292="",J292="",I292="",AD292=""),"",ABS(J292-L292)*I292*AD292*AE292)</f>
        <v/>
      </c>
      <c r="T292" s="29" t="str">
        <f>IF(OR(R292="",S292="",S292=0),"",R292/S292)</f>
        <v/>
      </c>
      <c r="U292" s="20" t="str">
        <f>IF(R292="","",IF(R292&gt;0,"Ganadora",IF(R292&lt;0,"Perdedora","BE")))</f>
        <v/>
      </c>
      <c r="V292" s="23" t="n"/>
      <c r="W292" s="23" t="n"/>
      <c r="X292" s="23" t="n"/>
      <c r="Y292" s="23" t="n"/>
      <c r="Z292" s="23" t="n"/>
      <c r="AA292" s="23" t="n"/>
      <c r="AB292" s="30" t="n"/>
      <c r="AC292" s="1" t="n"/>
      <c r="AD292" s="1" t="str">
        <f>IF(G292="","",IFERROR(INDEX('Listas'!$N$6:$N$35,MATCH(G292,'Listas'!$M$6:$M$35,0)),""))</f>
        <v/>
      </c>
      <c r="AE292">
        <f>IF(G292="",1,IFERROR(INDEX('Listas'!$P$6:$P$35,MATCH(G292,'Listas'!$M$6:$M$35,0)),1))</f>
        <v>1</v>
      </c>
      <c r="AF292">
        <f>IF(H292="Compra",1,IF(H292="Venta",-1,0))</f>
        <v>0</v>
      </c>
      <c r="AG292">
        <f>IF(AND(D292&lt;&gt;"",ISNUMBER(R292)),1,0)</f>
        <v>0</v>
      </c>
      <c r="AH292">
        <f>IF(AG292=0,0,IF(OR('Panel'!$D$5="Todas las cuentas",'Panel'!$D$5="",F292='Panel'!$D$5),1,0))</f>
        <v>0</v>
      </c>
      <c r="AI292">
        <f>IF(AH292=0,0,IF(AND(OR('Panel'!$G$5="",D292&gt;='Panel'!$G$5),OR('Panel'!$J$5="",D292&lt;='Panel'!$J$5)),1,0))</f>
        <v>0</v>
      </c>
      <c r="AJ292">
        <f>IF(AI292=1,R292,0)</f>
        <v>0</v>
      </c>
      <c r="AK292" t="str">
        <f>IF(AI292=1,'Panel'!$AB$4+SUM($AJ$5:AJ292),"")</f>
        <v/>
      </c>
      <c r="AL292">
        <f>IF(AI292=0,N(AL291),IF(R292&lt;0,N(AL291)+1,0))</f>
        <v>1</v>
      </c>
      <c r="AM292">
        <f>IF(AI292=0,N(AM291),IF(R292&gt;0,N(AM291)+1,0))</f>
        <v>0</v>
      </c>
      <c r="AN292">
        <f>IF(AI292=1,MAX('Panel'!$AB$4,N(AN291),AK292),N(AN291))</f>
        <v>21371.061500000033</v>
      </c>
      <c r="AO292">
        <f>IF(AI292=1,AN292-AK292,0)</f>
        <v>0</v>
      </c>
      <c r="AP292">
        <f>IF(AND(AI292=1,AN292&gt;0),AO292/AN292,0)</f>
        <v>0</v>
      </c>
      <c r="AQ292" t="str">
        <f>IF(AI292=1,SUM($AI$5:AI292),"")</f>
        <v/>
      </c>
      <c r="AR292" t="str">
        <f>IF(AI292=1,IF(COUNTIFS($D$5:D292,D292,$AI$5:AI292,1)=1,SUMIFS($AJ$5:$AJ$504,$D$5:$D$504,D292),""),"")</f>
        <v/>
      </c>
      <c r="AS292" t="str">
        <f>IF(AG292=1,WEEKDAY(D292,2),"")</f>
        <v/>
      </c>
      <c r="AT292" s="31" t="str">
        <f>IF(AG292=1,DATE(YEAR(D292),MONTH(D292),1),"")</f>
        <v/>
      </c>
      <c r="AU292">
        <f>IF(AG292=0,0,IF(AND(OR('Prop challenge'!$D$7="",F292='Prop challenge'!$D$7),OR('Prop challenge'!$D$9="",D292&gt;='Prop challenge'!$D$9)),1,0))</f>
        <v>0</v>
      </c>
      <c r="AV292">
        <f>IF(AU292=1,IF(COUNTIFS($D$5:D292,D292,$AU$5:AU292,1)=1,1,0),0)</f>
        <v>0</v>
      </c>
      <c r="AW292" t="str">
        <f>IF(AV292=1,SUM($AV$5:AV292),"")</f>
        <v/>
      </c>
      <c r="AX292" t="str">
        <f>IF(AV292=1,SUMIFS($R$5:$R$504,$D$5:$D$504,D292,$AU$5:$AU$504,1),"")</f>
        <v/>
      </c>
    </row>
    <row r="293">
      <c r="A293" s="20" t="str">
        <f>IF(AG293=1,ROW()-4,"")</f>
        <v/>
      </c>
      <c r="B293" s="21" t="n"/>
      <c r="C293" s="22" t="n"/>
      <c r="D293" s="21" t="n"/>
      <c r="E293" s="22" t="n"/>
      <c r="F293" s="23" t="n"/>
      <c r="G293" s="23" t="n"/>
      <c r="H293" s="23" t="n"/>
      <c r="I293" s="24" t="n"/>
      <c r="J293" s="25" t="n"/>
      <c r="K293" s="25" t="n"/>
      <c r="L293" s="25" t="n"/>
      <c r="M293" s="25" t="n"/>
      <c r="N293" s="26" t="n"/>
      <c r="O293" s="26" t="n"/>
      <c r="P293" s="27" t="str">
        <f>IF(OR(J293="",K293="",I293="",AF293=0,AD293=""),"",(K293-J293)*AF293*I293*AD293*AE293)</f>
        <v/>
      </c>
      <c r="Q293" s="26" t="n"/>
      <c r="R293" s="28" t="str">
        <f>IF(Q293&lt;&gt;"",Q293,IF(P293="","",P293-N(N293)+N(O293)))</f>
        <v/>
      </c>
      <c r="S293" s="27" t="str">
        <f>IF(OR(L293="",J293="",I293="",AD293=""),"",ABS(J293-L293)*I293*AD293*AE293)</f>
        <v/>
      </c>
      <c r="T293" s="29" t="str">
        <f>IF(OR(R293="",S293="",S293=0),"",R293/S293)</f>
        <v/>
      </c>
      <c r="U293" s="20" t="str">
        <f>IF(R293="","",IF(R293&gt;0,"Ganadora",IF(R293&lt;0,"Perdedora","BE")))</f>
        <v/>
      </c>
      <c r="V293" s="23" t="n"/>
      <c r="W293" s="23" t="n"/>
      <c r="X293" s="23" t="n"/>
      <c r="Y293" s="23" t="n"/>
      <c r="Z293" s="23" t="n"/>
      <c r="AA293" s="23" t="n"/>
      <c r="AB293" s="30" t="n"/>
      <c r="AC293" s="1" t="n"/>
      <c r="AD293" s="1" t="str">
        <f>IF(G293="","",IFERROR(INDEX('Listas'!$N$6:$N$35,MATCH(G293,'Listas'!$M$6:$M$35,0)),""))</f>
        <v/>
      </c>
      <c r="AE293">
        <f>IF(G293="",1,IFERROR(INDEX('Listas'!$P$6:$P$35,MATCH(G293,'Listas'!$M$6:$M$35,0)),1))</f>
        <v>1</v>
      </c>
      <c r="AF293">
        <f>IF(H293="Compra",1,IF(H293="Venta",-1,0))</f>
        <v>0</v>
      </c>
      <c r="AG293">
        <f>IF(AND(D293&lt;&gt;"",ISNUMBER(R293)),1,0)</f>
        <v>0</v>
      </c>
      <c r="AH293">
        <f>IF(AG293=0,0,IF(OR('Panel'!$D$5="Todas las cuentas",'Panel'!$D$5="",F293='Panel'!$D$5),1,0))</f>
        <v>0</v>
      </c>
      <c r="AI293">
        <f>IF(AH293=0,0,IF(AND(OR('Panel'!$G$5="",D293&gt;='Panel'!$G$5),OR('Panel'!$J$5="",D293&lt;='Panel'!$J$5)),1,0))</f>
        <v>0</v>
      </c>
      <c r="AJ293">
        <f>IF(AI293=1,R293,0)</f>
        <v>0</v>
      </c>
      <c r="AK293" t="str">
        <f>IF(AI293=1,'Panel'!$AB$4+SUM($AJ$5:AJ293),"")</f>
        <v/>
      </c>
      <c r="AL293">
        <f>IF(AI293=0,N(AL292),IF(R293&lt;0,N(AL292)+1,0))</f>
        <v>1</v>
      </c>
      <c r="AM293">
        <f>IF(AI293=0,N(AM292),IF(R293&gt;0,N(AM292)+1,0))</f>
        <v>0</v>
      </c>
      <c r="AN293">
        <f>IF(AI293=1,MAX('Panel'!$AB$4,N(AN292),AK293),N(AN292))</f>
        <v>21371.061500000033</v>
      </c>
      <c r="AO293">
        <f>IF(AI293=1,AN293-AK293,0)</f>
        <v>0</v>
      </c>
      <c r="AP293">
        <f>IF(AND(AI293=1,AN293&gt;0),AO293/AN293,0)</f>
        <v>0</v>
      </c>
      <c r="AQ293" t="str">
        <f>IF(AI293=1,SUM($AI$5:AI293),"")</f>
        <v/>
      </c>
      <c r="AR293" t="str">
        <f>IF(AI293=1,IF(COUNTIFS($D$5:D293,D293,$AI$5:AI293,1)=1,SUMIFS($AJ$5:$AJ$504,$D$5:$D$504,D293),""),"")</f>
        <v/>
      </c>
      <c r="AS293" t="str">
        <f>IF(AG293=1,WEEKDAY(D293,2),"")</f>
        <v/>
      </c>
      <c r="AT293" s="31" t="str">
        <f>IF(AG293=1,DATE(YEAR(D293),MONTH(D293),1),"")</f>
        <v/>
      </c>
      <c r="AU293">
        <f>IF(AG293=0,0,IF(AND(OR('Prop challenge'!$D$7="",F293='Prop challenge'!$D$7),OR('Prop challenge'!$D$9="",D293&gt;='Prop challenge'!$D$9)),1,0))</f>
        <v>0</v>
      </c>
      <c r="AV293">
        <f>IF(AU293=1,IF(COUNTIFS($D$5:D293,D293,$AU$5:AU293,1)=1,1,0),0)</f>
        <v>0</v>
      </c>
      <c r="AW293" t="str">
        <f>IF(AV293=1,SUM($AV$5:AV293),"")</f>
        <v/>
      </c>
      <c r="AX293" t="str">
        <f>IF(AV293=1,SUMIFS($R$5:$R$504,$D$5:$D$504,D293,$AU$5:$AU$504,1),"")</f>
        <v/>
      </c>
    </row>
    <row r="294">
      <c r="A294" s="20" t="str">
        <f>IF(AG294=1,ROW()-4,"")</f>
        <v/>
      </c>
      <c r="B294" s="21" t="n"/>
      <c r="C294" s="22" t="n"/>
      <c r="D294" s="21" t="n"/>
      <c r="E294" s="22" t="n"/>
      <c r="F294" s="23" t="n"/>
      <c r="G294" s="23" t="n"/>
      <c r="H294" s="23" t="n"/>
      <c r="I294" s="24" t="n"/>
      <c r="J294" s="25" t="n"/>
      <c r="K294" s="25" t="n"/>
      <c r="L294" s="25" t="n"/>
      <c r="M294" s="25" t="n"/>
      <c r="N294" s="26" t="n"/>
      <c r="O294" s="26" t="n"/>
      <c r="P294" s="27" t="str">
        <f>IF(OR(J294="",K294="",I294="",AF294=0,AD294=""),"",(K294-J294)*AF294*I294*AD294*AE294)</f>
        <v/>
      </c>
      <c r="Q294" s="26" t="n"/>
      <c r="R294" s="28" t="str">
        <f>IF(Q294&lt;&gt;"",Q294,IF(P294="","",P294-N(N294)+N(O294)))</f>
        <v/>
      </c>
      <c r="S294" s="27" t="str">
        <f>IF(OR(L294="",J294="",I294="",AD294=""),"",ABS(J294-L294)*I294*AD294*AE294)</f>
        <v/>
      </c>
      <c r="T294" s="29" t="str">
        <f>IF(OR(R294="",S294="",S294=0),"",R294/S294)</f>
        <v/>
      </c>
      <c r="U294" s="20" t="str">
        <f>IF(R294="","",IF(R294&gt;0,"Ganadora",IF(R294&lt;0,"Perdedora","BE")))</f>
        <v/>
      </c>
      <c r="V294" s="23" t="n"/>
      <c r="W294" s="23" t="n"/>
      <c r="X294" s="23" t="n"/>
      <c r="Y294" s="23" t="n"/>
      <c r="Z294" s="23" t="n"/>
      <c r="AA294" s="23" t="n"/>
      <c r="AB294" s="30" t="n"/>
      <c r="AC294" s="1" t="n"/>
      <c r="AD294" s="1" t="str">
        <f>IF(G294="","",IFERROR(INDEX('Listas'!$N$6:$N$35,MATCH(G294,'Listas'!$M$6:$M$35,0)),""))</f>
        <v/>
      </c>
      <c r="AE294">
        <f>IF(G294="",1,IFERROR(INDEX('Listas'!$P$6:$P$35,MATCH(G294,'Listas'!$M$6:$M$35,0)),1))</f>
        <v>1</v>
      </c>
      <c r="AF294">
        <f>IF(H294="Compra",1,IF(H294="Venta",-1,0))</f>
        <v>0</v>
      </c>
      <c r="AG294">
        <f>IF(AND(D294&lt;&gt;"",ISNUMBER(R294)),1,0)</f>
        <v>0</v>
      </c>
      <c r="AH294">
        <f>IF(AG294=0,0,IF(OR('Panel'!$D$5="Todas las cuentas",'Panel'!$D$5="",F294='Panel'!$D$5),1,0))</f>
        <v>0</v>
      </c>
      <c r="AI294">
        <f>IF(AH294=0,0,IF(AND(OR('Panel'!$G$5="",D294&gt;='Panel'!$G$5),OR('Panel'!$J$5="",D294&lt;='Panel'!$J$5)),1,0))</f>
        <v>0</v>
      </c>
      <c r="AJ294">
        <f>IF(AI294=1,R294,0)</f>
        <v>0</v>
      </c>
      <c r="AK294" t="str">
        <f>IF(AI294=1,'Panel'!$AB$4+SUM($AJ$5:AJ294),"")</f>
        <v/>
      </c>
      <c r="AL294">
        <f>IF(AI294=0,N(AL293),IF(R294&lt;0,N(AL293)+1,0))</f>
        <v>1</v>
      </c>
      <c r="AM294">
        <f>IF(AI294=0,N(AM293),IF(R294&gt;0,N(AM293)+1,0))</f>
        <v>0</v>
      </c>
      <c r="AN294">
        <f>IF(AI294=1,MAX('Panel'!$AB$4,N(AN293),AK294),N(AN293))</f>
        <v>21371.061500000033</v>
      </c>
      <c r="AO294">
        <f>IF(AI294=1,AN294-AK294,0)</f>
        <v>0</v>
      </c>
      <c r="AP294">
        <f>IF(AND(AI294=1,AN294&gt;0),AO294/AN294,0)</f>
        <v>0</v>
      </c>
      <c r="AQ294" t="str">
        <f>IF(AI294=1,SUM($AI$5:AI294),"")</f>
        <v/>
      </c>
      <c r="AR294" t="str">
        <f>IF(AI294=1,IF(COUNTIFS($D$5:D294,D294,$AI$5:AI294,1)=1,SUMIFS($AJ$5:$AJ$504,$D$5:$D$504,D294),""),"")</f>
        <v/>
      </c>
      <c r="AS294" t="str">
        <f>IF(AG294=1,WEEKDAY(D294,2),"")</f>
        <v/>
      </c>
      <c r="AT294" s="31" t="str">
        <f>IF(AG294=1,DATE(YEAR(D294),MONTH(D294),1),"")</f>
        <v/>
      </c>
      <c r="AU294">
        <f>IF(AG294=0,0,IF(AND(OR('Prop challenge'!$D$7="",F294='Prop challenge'!$D$7),OR('Prop challenge'!$D$9="",D294&gt;='Prop challenge'!$D$9)),1,0))</f>
        <v>0</v>
      </c>
      <c r="AV294">
        <f>IF(AU294=1,IF(COUNTIFS($D$5:D294,D294,$AU$5:AU294,1)=1,1,0),0)</f>
        <v>0</v>
      </c>
      <c r="AW294" t="str">
        <f>IF(AV294=1,SUM($AV$5:AV294),"")</f>
        <v/>
      </c>
      <c r="AX294" t="str">
        <f>IF(AV294=1,SUMIFS($R$5:$R$504,$D$5:$D$504,D294,$AU$5:$AU$504,1),"")</f>
        <v/>
      </c>
    </row>
    <row r="295">
      <c r="A295" s="20" t="str">
        <f>IF(AG295=1,ROW()-4,"")</f>
        <v/>
      </c>
      <c r="B295" s="21" t="n"/>
      <c r="C295" s="22" t="n"/>
      <c r="D295" s="21" t="n"/>
      <c r="E295" s="22" t="n"/>
      <c r="F295" s="23" t="n"/>
      <c r="G295" s="23" t="n"/>
      <c r="H295" s="23" t="n"/>
      <c r="I295" s="24" t="n"/>
      <c r="J295" s="25" t="n"/>
      <c r="K295" s="25" t="n"/>
      <c r="L295" s="25" t="n"/>
      <c r="M295" s="25" t="n"/>
      <c r="N295" s="26" t="n"/>
      <c r="O295" s="26" t="n"/>
      <c r="P295" s="27" t="str">
        <f>IF(OR(J295="",K295="",I295="",AF295=0,AD295=""),"",(K295-J295)*AF295*I295*AD295*AE295)</f>
        <v/>
      </c>
      <c r="Q295" s="26" t="n"/>
      <c r="R295" s="28" t="str">
        <f>IF(Q295&lt;&gt;"",Q295,IF(P295="","",P295-N(N295)+N(O295)))</f>
        <v/>
      </c>
      <c r="S295" s="27" t="str">
        <f>IF(OR(L295="",J295="",I295="",AD295=""),"",ABS(J295-L295)*I295*AD295*AE295)</f>
        <v/>
      </c>
      <c r="T295" s="29" t="str">
        <f>IF(OR(R295="",S295="",S295=0),"",R295/S295)</f>
        <v/>
      </c>
      <c r="U295" s="20" t="str">
        <f>IF(R295="","",IF(R295&gt;0,"Ganadora",IF(R295&lt;0,"Perdedora","BE")))</f>
        <v/>
      </c>
      <c r="V295" s="23" t="n"/>
      <c r="W295" s="23" t="n"/>
      <c r="X295" s="23" t="n"/>
      <c r="Y295" s="23" t="n"/>
      <c r="Z295" s="23" t="n"/>
      <c r="AA295" s="23" t="n"/>
      <c r="AB295" s="30" t="n"/>
      <c r="AC295" s="1" t="n"/>
      <c r="AD295" s="1" t="str">
        <f>IF(G295="","",IFERROR(INDEX('Listas'!$N$6:$N$35,MATCH(G295,'Listas'!$M$6:$M$35,0)),""))</f>
        <v/>
      </c>
      <c r="AE295">
        <f>IF(G295="",1,IFERROR(INDEX('Listas'!$P$6:$P$35,MATCH(G295,'Listas'!$M$6:$M$35,0)),1))</f>
        <v>1</v>
      </c>
      <c r="AF295">
        <f>IF(H295="Compra",1,IF(H295="Venta",-1,0))</f>
        <v>0</v>
      </c>
      <c r="AG295">
        <f>IF(AND(D295&lt;&gt;"",ISNUMBER(R295)),1,0)</f>
        <v>0</v>
      </c>
      <c r="AH295">
        <f>IF(AG295=0,0,IF(OR('Panel'!$D$5="Todas las cuentas",'Panel'!$D$5="",F295='Panel'!$D$5),1,0))</f>
        <v>0</v>
      </c>
      <c r="AI295">
        <f>IF(AH295=0,0,IF(AND(OR('Panel'!$G$5="",D295&gt;='Panel'!$G$5),OR('Panel'!$J$5="",D295&lt;='Panel'!$J$5)),1,0))</f>
        <v>0</v>
      </c>
      <c r="AJ295">
        <f>IF(AI295=1,R295,0)</f>
        <v>0</v>
      </c>
      <c r="AK295" t="str">
        <f>IF(AI295=1,'Panel'!$AB$4+SUM($AJ$5:AJ295),"")</f>
        <v/>
      </c>
      <c r="AL295">
        <f>IF(AI295=0,N(AL294),IF(R295&lt;0,N(AL294)+1,0))</f>
        <v>1</v>
      </c>
      <c r="AM295">
        <f>IF(AI295=0,N(AM294),IF(R295&gt;0,N(AM294)+1,0))</f>
        <v>0</v>
      </c>
      <c r="AN295">
        <f>IF(AI295=1,MAX('Panel'!$AB$4,N(AN294),AK295),N(AN294))</f>
        <v>21371.061500000033</v>
      </c>
      <c r="AO295">
        <f>IF(AI295=1,AN295-AK295,0)</f>
        <v>0</v>
      </c>
      <c r="AP295">
        <f>IF(AND(AI295=1,AN295&gt;0),AO295/AN295,0)</f>
        <v>0</v>
      </c>
      <c r="AQ295" t="str">
        <f>IF(AI295=1,SUM($AI$5:AI295),"")</f>
        <v/>
      </c>
      <c r="AR295" t="str">
        <f>IF(AI295=1,IF(COUNTIFS($D$5:D295,D295,$AI$5:AI295,1)=1,SUMIFS($AJ$5:$AJ$504,$D$5:$D$504,D295),""),"")</f>
        <v/>
      </c>
      <c r="AS295" t="str">
        <f>IF(AG295=1,WEEKDAY(D295,2),"")</f>
        <v/>
      </c>
      <c r="AT295" s="31" t="str">
        <f>IF(AG295=1,DATE(YEAR(D295),MONTH(D295),1),"")</f>
        <v/>
      </c>
      <c r="AU295">
        <f>IF(AG295=0,0,IF(AND(OR('Prop challenge'!$D$7="",F295='Prop challenge'!$D$7),OR('Prop challenge'!$D$9="",D295&gt;='Prop challenge'!$D$9)),1,0))</f>
        <v>0</v>
      </c>
      <c r="AV295">
        <f>IF(AU295=1,IF(COUNTIFS($D$5:D295,D295,$AU$5:AU295,1)=1,1,0),0)</f>
        <v>0</v>
      </c>
      <c r="AW295" t="str">
        <f>IF(AV295=1,SUM($AV$5:AV295),"")</f>
        <v/>
      </c>
      <c r="AX295" t="str">
        <f>IF(AV295=1,SUMIFS($R$5:$R$504,$D$5:$D$504,D295,$AU$5:$AU$504,1),"")</f>
        <v/>
      </c>
    </row>
    <row r="296">
      <c r="A296" s="20" t="str">
        <f>IF(AG296=1,ROW()-4,"")</f>
        <v/>
      </c>
      <c r="B296" s="21" t="n"/>
      <c r="C296" s="22" t="n"/>
      <c r="D296" s="21" t="n"/>
      <c r="E296" s="22" t="n"/>
      <c r="F296" s="23" t="n"/>
      <c r="G296" s="23" t="n"/>
      <c r="H296" s="23" t="n"/>
      <c r="I296" s="24" t="n"/>
      <c r="J296" s="25" t="n"/>
      <c r="K296" s="25" t="n"/>
      <c r="L296" s="25" t="n"/>
      <c r="M296" s="25" t="n"/>
      <c r="N296" s="26" t="n"/>
      <c r="O296" s="26" t="n"/>
      <c r="P296" s="27" t="str">
        <f>IF(OR(J296="",K296="",I296="",AF296=0,AD296=""),"",(K296-J296)*AF296*I296*AD296*AE296)</f>
        <v/>
      </c>
      <c r="Q296" s="26" t="n"/>
      <c r="R296" s="28" t="str">
        <f>IF(Q296&lt;&gt;"",Q296,IF(P296="","",P296-N(N296)+N(O296)))</f>
        <v/>
      </c>
      <c r="S296" s="27" t="str">
        <f>IF(OR(L296="",J296="",I296="",AD296=""),"",ABS(J296-L296)*I296*AD296*AE296)</f>
        <v/>
      </c>
      <c r="T296" s="29" t="str">
        <f>IF(OR(R296="",S296="",S296=0),"",R296/S296)</f>
        <v/>
      </c>
      <c r="U296" s="20" t="str">
        <f>IF(R296="","",IF(R296&gt;0,"Ganadora",IF(R296&lt;0,"Perdedora","BE")))</f>
        <v/>
      </c>
      <c r="V296" s="23" t="n"/>
      <c r="W296" s="23" t="n"/>
      <c r="X296" s="23" t="n"/>
      <c r="Y296" s="23" t="n"/>
      <c r="Z296" s="23" t="n"/>
      <c r="AA296" s="23" t="n"/>
      <c r="AB296" s="30" t="n"/>
      <c r="AC296" s="1" t="n"/>
      <c r="AD296" s="1" t="str">
        <f>IF(G296="","",IFERROR(INDEX('Listas'!$N$6:$N$35,MATCH(G296,'Listas'!$M$6:$M$35,0)),""))</f>
        <v/>
      </c>
      <c r="AE296">
        <f>IF(G296="",1,IFERROR(INDEX('Listas'!$P$6:$P$35,MATCH(G296,'Listas'!$M$6:$M$35,0)),1))</f>
        <v>1</v>
      </c>
      <c r="AF296">
        <f>IF(H296="Compra",1,IF(H296="Venta",-1,0))</f>
        <v>0</v>
      </c>
      <c r="AG296">
        <f>IF(AND(D296&lt;&gt;"",ISNUMBER(R296)),1,0)</f>
        <v>0</v>
      </c>
      <c r="AH296">
        <f>IF(AG296=0,0,IF(OR('Panel'!$D$5="Todas las cuentas",'Panel'!$D$5="",F296='Panel'!$D$5),1,0))</f>
        <v>0</v>
      </c>
      <c r="AI296">
        <f>IF(AH296=0,0,IF(AND(OR('Panel'!$G$5="",D296&gt;='Panel'!$G$5),OR('Panel'!$J$5="",D296&lt;='Panel'!$J$5)),1,0))</f>
        <v>0</v>
      </c>
      <c r="AJ296">
        <f>IF(AI296=1,R296,0)</f>
        <v>0</v>
      </c>
      <c r="AK296" t="str">
        <f>IF(AI296=1,'Panel'!$AB$4+SUM($AJ$5:AJ296),"")</f>
        <v/>
      </c>
      <c r="AL296">
        <f>IF(AI296=0,N(AL295),IF(R296&lt;0,N(AL295)+1,0))</f>
        <v>1</v>
      </c>
      <c r="AM296">
        <f>IF(AI296=0,N(AM295),IF(R296&gt;0,N(AM295)+1,0))</f>
        <v>0</v>
      </c>
      <c r="AN296">
        <f>IF(AI296=1,MAX('Panel'!$AB$4,N(AN295),AK296),N(AN295))</f>
        <v>21371.061500000033</v>
      </c>
      <c r="AO296">
        <f>IF(AI296=1,AN296-AK296,0)</f>
        <v>0</v>
      </c>
      <c r="AP296">
        <f>IF(AND(AI296=1,AN296&gt;0),AO296/AN296,0)</f>
        <v>0</v>
      </c>
      <c r="AQ296" t="str">
        <f>IF(AI296=1,SUM($AI$5:AI296),"")</f>
        <v/>
      </c>
      <c r="AR296" t="str">
        <f>IF(AI296=1,IF(COUNTIFS($D$5:D296,D296,$AI$5:AI296,1)=1,SUMIFS($AJ$5:$AJ$504,$D$5:$D$504,D296),""),"")</f>
        <v/>
      </c>
      <c r="AS296" t="str">
        <f>IF(AG296=1,WEEKDAY(D296,2),"")</f>
        <v/>
      </c>
      <c r="AT296" s="31" t="str">
        <f>IF(AG296=1,DATE(YEAR(D296),MONTH(D296),1),"")</f>
        <v/>
      </c>
      <c r="AU296">
        <f>IF(AG296=0,0,IF(AND(OR('Prop challenge'!$D$7="",F296='Prop challenge'!$D$7),OR('Prop challenge'!$D$9="",D296&gt;='Prop challenge'!$D$9)),1,0))</f>
        <v>0</v>
      </c>
      <c r="AV296">
        <f>IF(AU296=1,IF(COUNTIFS($D$5:D296,D296,$AU$5:AU296,1)=1,1,0),0)</f>
        <v>0</v>
      </c>
      <c r="AW296" t="str">
        <f>IF(AV296=1,SUM($AV$5:AV296),"")</f>
        <v/>
      </c>
      <c r="AX296" t="str">
        <f>IF(AV296=1,SUMIFS($R$5:$R$504,$D$5:$D$504,D296,$AU$5:$AU$504,1),"")</f>
        <v/>
      </c>
    </row>
    <row r="297">
      <c r="A297" s="20" t="str">
        <f>IF(AG297=1,ROW()-4,"")</f>
        <v/>
      </c>
      <c r="B297" s="21" t="n"/>
      <c r="C297" s="22" t="n"/>
      <c r="D297" s="21" t="n"/>
      <c r="E297" s="22" t="n"/>
      <c r="F297" s="23" t="n"/>
      <c r="G297" s="23" t="n"/>
      <c r="H297" s="23" t="n"/>
      <c r="I297" s="24" t="n"/>
      <c r="J297" s="25" t="n"/>
      <c r="K297" s="25" t="n"/>
      <c r="L297" s="25" t="n"/>
      <c r="M297" s="25" t="n"/>
      <c r="N297" s="26" t="n"/>
      <c r="O297" s="26" t="n"/>
      <c r="P297" s="27" t="str">
        <f>IF(OR(J297="",K297="",I297="",AF297=0,AD297=""),"",(K297-J297)*AF297*I297*AD297*AE297)</f>
        <v/>
      </c>
      <c r="Q297" s="26" t="n"/>
      <c r="R297" s="28" t="str">
        <f>IF(Q297&lt;&gt;"",Q297,IF(P297="","",P297-N(N297)+N(O297)))</f>
        <v/>
      </c>
      <c r="S297" s="27" t="str">
        <f>IF(OR(L297="",J297="",I297="",AD297=""),"",ABS(J297-L297)*I297*AD297*AE297)</f>
        <v/>
      </c>
      <c r="T297" s="29" t="str">
        <f>IF(OR(R297="",S297="",S297=0),"",R297/S297)</f>
        <v/>
      </c>
      <c r="U297" s="20" t="str">
        <f>IF(R297="","",IF(R297&gt;0,"Ganadora",IF(R297&lt;0,"Perdedora","BE")))</f>
        <v/>
      </c>
      <c r="V297" s="23" t="n"/>
      <c r="W297" s="23" t="n"/>
      <c r="X297" s="23" t="n"/>
      <c r="Y297" s="23" t="n"/>
      <c r="Z297" s="23" t="n"/>
      <c r="AA297" s="23" t="n"/>
      <c r="AB297" s="30" t="n"/>
      <c r="AC297" s="1" t="n"/>
      <c r="AD297" s="1" t="str">
        <f>IF(G297="","",IFERROR(INDEX('Listas'!$N$6:$N$35,MATCH(G297,'Listas'!$M$6:$M$35,0)),""))</f>
        <v/>
      </c>
      <c r="AE297">
        <f>IF(G297="",1,IFERROR(INDEX('Listas'!$P$6:$P$35,MATCH(G297,'Listas'!$M$6:$M$35,0)),1))</f>
        <v>1</v>
      </c>
      <c r="AF297">
        <f>IF(H297="Compra",1,IF(H297="Venta",-1,0))</f>
        <v>0</v>
      </c>
      <c r="AG297">
        <f>IF(AND(D297&lt;&gt;"",ISNUMBER(R297)),1,0)</f>
        <v>0</v>
      </c>
      <c r="AH297">
        <f>IF(AG297=0,0,IF(OR('Panel'!$D$5="Todas las cuentas",'Panel'!$D$5="",F297='Panel'!$D$5),1,0))</f>
        <v>0</v>
      </c>
      <c r="AI297">
        <f>IF(AH297=0,0,IF(AND(OR('Panel'!$G$5="",D297&gt;='Panel'!$G$5),OR('Panel'!$J$5="",D297&lt;='Panel'!$J$5)),1,0))</f>
        <v>0</v>
      </c>
      <c r="AJ297">
        <f>IF(AI297=1,R297,0)</f>
        <v>0</v>
      </c>
      <c r="AK297" t="str">
        <f>IF(AI297=1,'Panel'!$AB$4+SUM($AJ$5:AJ297),"")</f>
        <v/>
      </c>
      <c r="AL297">
        <f>IF(AI297=0,N(AL296),IF(R297&lt;0,N(AL296)+1,0))</f>
        <v>1</v>
      </c>
      <c r="AM297">
        <f>IF(AI297=0,N(AM296),IF(R297&gt;0,N(AM296)+1,0))</f>
        <v>0</v>
      </c>
      <c r="AN297">
        <f>IF(AI297=1,MAX('Panel'!$AB$4,N(AN296),AK297),N(AN296))</f>
        <v>21371.061500000033</v>
      </c>
      <c r="AO297">
        <f>IF(AI297=1,AN297-AK297,0)</f>
        <v>0</v>
      </c>
      <c r="AP297">
        <f>IF(AND(AI297=1,AN297&gt;0),AO297/AN297,0)</f>
        <v>0</v>
      </c>
      <c r="AQ297" t="str">
        <f>IF(AI297=1,SUM($AI$5:AI297),"")</f>
        <v/>
      </c>
      <c r="AR297" t="str">
        <f>IF(AI297=1,IF(COUNTIFS($D$5:D297,D297,$AI$5:AI297,1)=1,SUMIFS($AJ$5:$AJ$504,$D$5:$D$504,D297),""),"")</f>
        <v/>
      </c>
      <c r="AS297" t="str">
        <f>IF(AG297=1,WEEKDAY(D297,2),"")</f>
        <v/>
      </c>
      <c r="AT297" s="31" t="str">
        <f>IF(AG297=1,DATE(YEAR(D297),MONTH(D297),1),"")</f>
        <v/>
      </c>
      <c r="AU297">
        <f>IF(AG297=0,0,IF(AND(OR('Prop challenge'!$D$7="",F297='Prop challenge'!$D$7),OR('Prop challenge'!$D$9="",D297&gt;='Prop challenge'!$D$9)),1,0))</f>
        <v>0</v>
      </c>
      <c r="AV297">
        <f>IF(AU297=1,IF(COUNTIFS($D$5:D297,D297,$AU$5:AU297,1)=1,1,0),0)</f>
        <v>0</v>
      </c>
      <c r="AW297" t="str">
        <f>IF(AV297=1,SUM($AV$5:AV297),"")</f>
        <v/>
      </c>
      <c r="AX297" t="str">
        <f>IF(AV297=1,SUMIFS($R$5:$R$504,$D$5:$D$504,D297,$AU$5:$AU$504,1),"")</f>
        <v/>
      </c>
    </row>
    <row r="298">
      <c r="A298" s="20" t="str">
        <f>IF(AG298=1,ROW()-4,"")</f>
        <v/>
      </c>
      <c r="B298" s="21" t="n"/>
      <c r="C298" s="22" t="n"/>
      <c r="D298" s="21" t="n"/>
      <c r="E298" s="22" t="n"/>
      <c r="F298" s="23" t="n"/>
      <c r="G298" s="23" t="n"/>
      <c r="H298" s="23" t="n"/>
      <c r="I298" s="24" t="n"/>
      <c r="J298" s="25" t="n"/>
      <c r="K298" s="25" t="n"/>
      <c r="L298" s="25" t="n"/>
      <c r="M298" s="25" t="n"/>
      <c r="N298" s="26" t="n"/>
      <c r="O298" s="26" t="n"/>
      <c r="P298" s="27" t="str">
        <f>IF(OR(J298="",K298="",I298="",AF298=0,AD298=""),"",(K298-J298)*AF298*I298*AD298*AE298)</f>
        <v/>
      </c>
      <c r="Q298" s="26" t="n"/>
      <c r="R298" s="28" t="str">
        <f>IF(Q298&lt;&gt;"",Q298,IF(P298="","",P298-N(N298)+N(O298)))</f>
        <v/>
      </c>
      <c r="S298" s="27" t="str">
        <f>IF(OR(L298="",J298="",I298="",AD298=""),"",ABS(J298-L298)*I298*AD298*AE298)</f>
        <v/>
      </c>
      <c r="T298" s="29" t="str">
        <f>IF(OR(R298="",S298="",S298=0),"",R298/S298)</f>
        <v/>
      </c>
      <c r="U298" s="20" t="str">
        <f>IF(R298="","",IF(R298&gt;0,"Ganadora",IF(R298&lt;0,"Perdedora","BE")))</f>
        <v/>
      </c>
      <c r="V298" s="23" t="n"/>
      <c r="W298" s="23" t="n"/>
      <c r="X298" s="23" t="n"/>
      <c r="Y298" s="23" t="n"/>
      <c r="Z298" s="23" t="n"/>
      <c r="AA298" s="23" t="n"/>
      <c r="AB298" s="30" t="n"/>
      <c r="AC298" s="1" t="n"/>
      <c r="AD298" s="1" t="str">
        <f>IF(G298="","",IFERROR(INDEX('Listas'!$N$6:$N$35,MATCH(G298,'Listas'!$M$6:$M$35,0)),""))</f>
        <v/>
      </c>
      <c r="AE298">
        <f>IF(G298="",1,IFERROR(INDEX('Listas'!$P$6:$P$35,MATCH(G298,'Listas'!$M$6:$M$35,0)),1))</f>
        <v>1</v>
      </c>
      <c r="AF298">
        <f>IF(H298="Compra",1,IF(H298="Venta",-1,0))</f>
        <v>0</v>
      </c>
      <c r="AG298">
        <f>IF(AND(D298&lt;&gt;"",ISNUMBER(R298)),1,0)</f>
        <v>0</v>
      </c>
      <c r="AH298">
        <f>IF(AG298=0,0,IF(OR('Panel'!$D$5="Todas las cuentas",'Panel'!$D$5="",F298='Panel'!$D$5),1,0))</f>
        <v>0</v>
      </c>
      <c r="AI298">
        <f>IF(AH298=0,0,IF(AND(OR('Panel'!$G$5="",D298&gt;='Panel'!$G$5),OR('Panel'!$J$5="",D298&lt;='Panel'!$J$5)),1,0))</f>
        <v>0</v>
      </c>
      <c r="AJ298">
        <f>IF(AI298=1,R298,0)</f>
        <v>0</v>
      </c>
      <c r="AK298" t="str">
        <f>IF(AI298=1,'Panel'!$AB$4+SUM($AJ$5:AJ298),"")</f>
        <v/>
      </c>
      <c r="AL298">
        <f>IF(AI298=0,N(AL297),IF(R298&lt;0,N(AL297)+1,0))</f>
        <v>1</v>
      </c>
      <c r="AM298">
        <f>IF(AI298=0,N(AM297),IF(R298&gt;0,N(AM297)+1,0))</f>
        <v>0</v>
      </c>
      <c r="AN298">
        <f>IF(AI298=1,MAX('Panel'!$AB$4,N(AN297),AK298),N(AN297))</f>
        <v>21371.061500000033</v>
      </c>
      <c r="AO298">
        <f>IF(AI298=1,AN298-AK298,0)</f>
        <v>0</v>
      </c>
      <c r="AP298">
        <f>IF(AND(AI298=1,AN298&gt;0),AO298/AN298,0)</f>
        <v>0</v>
      </c>
      <c r="AQ298" t="str">
        <f>IF(AI298=1,SUM($AI$5:AI298),"")</f>
        <v/>
      </c>
      <c r="AR298" t="str">
        <f>IF(AI298=1,IF(COUNTIFS($D$5:D298,D298,$AI$5:AI298,1)=1,SUMIFS($AJ$5:$AJ$504,$D$5:$D$504,D298),""),"")</f>
        <v/>
      </c>
      <c r="AS298" t="str">
        <f>IF(AG298=1,WEEKDAY(D298,2),"")</f>
        <v/>
      </c>
      <c r="AT298" s="31" t="str">
        <f>IF(AG298=1,DATE(YEAR(D298),MONTH(D298),1),"")</f>
        <v/>
      </c>
      <c r="AU298">
        <f>IF(AG298=0,0,IF(AND(OR('Prop challenge'!$D$7="",F298='Prop challenge'!$D$7),OR('Prop challenge'!$D$9="",D298&gt;='Prop challenge'!$D$9)),1,0))</f>
        <v>0</v>
      </c>
      <c r="AV298">
        <f>IF(AU298=1,IF(COUNTIFS($D$5:D298,D298,$AU$5:AU298,1)=1,1,0),0)</f>
        <v>0</v>
      </c>
      <c r="AW298" t="str">
        <f>IF(AV298=1,SUM($AV$5:AV298),"")</f>
        <v/>
      </c>
      <c r="AX298" t="str">
        <f>IF(AV298=1,SUMIFS($R$5:$R$504,$D$5:$D$504,D298,$AU$5:$AU$504,1),"")</f>
        <v/>
      </c>
    </row>
    <row r="299">
      <c r="A299" s="20" t="str">
        <f>IF(AG299=1,ROW()-4,"")</f>
        <v/>
      </c>
      <c r="B299" s="21" t="n"/>
      <c r="C299" s="22" t="n"/>
      <c r="D299" s="21" t="n"/>
      <c r="E299" s="22" t="n"/>
      <c r="F299" s="23" t="n"/>
      <c r="G299" s="23" t="n"/>
      <c r="H299" s="23" t="n"/>
      <c r="I299" s="24" t="n"/>
      <c r="J299" s="25" t="n"/>
      <c r="K299" s="25" t="n"/>
      <c r="L299" s="25" t="n"/>
      <c r="M299" s="25" t="n"/>
      <c r="N299" s="26" t="n"/>
      <c r="O299" s="26" t="n"/>
      <c r="P299" s="27" t="str">
        <f>IF(OR(J299="",K299="",I299="",AF299=0,AD299=""),"",(K299-J299)*AF299*I299*AD299*AE299)</f>
        <v/>
      </c>
      <c r="Q299" s="26" t="n"/>
      <c r="R299" s="28" t="str">
        <f>IF(Q299&lt;&gt;"",Q299,IF(P299="","",P299-N(N299)+N(O299)))</f>
        <v/>
      </c>
      <c r="S299" s="27" t="str">
        <f>IF(OR(L299="",J299="",I299="",AD299=""),"",ABS(J299-L299)*I299*AD299*AE299)</f>
        <v/>
      </c>
      <c r="T299" s="29" t="str">
        <f>IF(OR(R299="",S299="",S299=0),"",R299/S299)</f>
        <v/>
      </c>
      <c r="U299" s="20" t="str">
        <f>IF(R299="","",IF(R299&gt;0,"Ganadora",IF(R299&lt;0,"Perdedora","BE")))</f>
        <v/>
      </c>
      <c r="V299" s="23" t="n"/>
      <c r="W299" s="23" t="n"/>
      <c r="X299" s="23" t="n"/>
      <c r="Y299" s="23" t="n"/>
      <c r="Z299" s="23" t="n"/>
      <c r="AA299" s="23" t="n"/>
      <c r="AB299" s="30" t="n"/>
      <c r="AC299" s="1" t="n"/>
      <c r="AD299" s="1" t="str">
        <f>IF(G299="","",IFERROR(INDEX('Listas'!$N$6:$N$35,MATCH(G299,'Listas'!$M$6:$M$35,0)),""))</f>
        <v/>
      </c>
      <c r="AE299">
        <f>IF(G299="",1,IFERROR(INDEX('Listas'!$P$6:$P$35,MATCH(G299,'Listas'!$M$6:$M$35,0)),1))</f>
        <v>1</v>
      </c>
      <c r="AF299">
        <f>IF(H299="Compra",1,IF(H299="Venta",-1,0))</f>
        <v>0</v>
      </c>
      <c r="AG299">
        <f>IF(AND(D299&lt;&gt;"",ISNUMBER(R299)),1,0)</f>
        <v>0</v>
      </c>
      <c r="AH299">
        <f>IF(AG299=0,0,IF(OR('Panel'!$D$5="Todas las cuentas",'Panel'!$D$5="",F299='Panel'!$D$5),1,0))</f>
        <v>0</v>
      </c>
      <c r="AI299">
        <f>IF(AH299=0,0,IF(AND(OR('Panel'!$G$5="",D299&gt;='Panel'!$G$5),OR('Panel'!$J$5="",D299&lt;='Panel'!$J$5)),1,0))</f>
        <v>0</v>
      </c>
      <c r="AJ299">
        <f>IF(AI299=1,R299,0)</f>
        <v>0</v>
      </c>
      <c r="AK299" t="str">
        <f>IF(AI299=1,'Panel'!$AB$4+SUM($AJ$5:AJ299),"")</f>
        <v/>
      </c>
      <c r="AL299">
        <f>IF(AI299=0,N(AL298),IF(R299&lt;0,N(AL298)+1,0))</f>
        <v>1</v>
      </c>
      <c r="AM299">
        <f>IF(AI299=0,N(AM298),IF(R299&gt;0,N(AM298)+1,0))</f>
        <v>0</v>
      </c>
      <c r="AN299">
        <f>IF(AI299=1,MAX('Panel'!$AB$4,N(AN298),AK299),N(AN298))</f>
        <v>21371.061500000033</v>
      </c>
      <c r="AO299">
        <f>IF(AI299=1,AN299-AK299,0)</f>
        <v>0</v>
      </c>
      <c r="AP299">
        <f>IF(AND(AI299=1,AN299&gt;0),AO299/AN299,0)</f>
        <v>0</v>
      </c>
      <c r="AQ299" t="str">
        <f>IF(AI299=1,SUM($AI$5:AI299),"")</f>
        <v/>
      </c>
      <c r="AR299" t="str">
        <f>IF(AI299=1,IF(COUNTIFS($D$5:D299,D299,$AI$5:AI299,1)=1,SUMIFS($AJ$5:$AJ$504,$D$5:$D$504,D299),""),"")</f>
        <v/>
      </c>
      <c r="AS299" t="str">
        <f>IF(AG299=1,WEEKDAY(D299,2),"")</f>
        <v/>
      </c>
      <c r="AT299" s="31" t="str">
        <f>IF(AG299=1,DATE(YEAR(D299),MONTH(D299),1),"")</f>
        <v/>
      </c>
      <c r="AU299">
        <f>IF(AG299=0,0,IF(AND(OR('Prop challenge'!$D$7="",F299='Prop challenge'!$D$7),OR('Prop challenge'!$D$9="",D299&gt;='Prop challenge'!$D$9)),1,0))</f>
        <v>0</v>
      </c>
      <c r="AV299">
        <f>IF(AU299=1,IF(COUNTIFS($D$5:D299,D299,$AU$5:AU299,1)=1,1,0),0)</f>
        <v>0</v>
      </c>
      <c r="AW299" t="str">
        <f>IF(AV299=1,SUM($AV$5:AV299),"")</f>
        <v/>
      </c>
      <c r="AX299" t="str">
        <f>IF(AV299=1,SUMIFS($R$5:$R$504,$D$5:$D$504,D299,$AU$5:$AU$504,1),"")</f>
        <v/>
      </c>
    </row>
    <row r="300">
      <c r="A300" s="20" t="str">
        <f>IF(AG300=1,ROW()-4,"")</f>
        <v/>
      </c>
      <c r="B300" s="21" t="n"/>
      <c r="C300" s="22" t="n"/>
      <c r="D300" s="21" t="n"/>
      <c r="E300" s="22" t="n"/>
      <c r="F300" s="23" t="n"/>
      <c r="G300" s="23" t="n"/>
      <c r="H300" s="23" t="n"/>
      <c r="I300" s="24" t="n"/>
      <c r="J300" s="25" t="n"/>
      <c r="K300" s="25" t="n"/>
      <c r="L300" s="25" t="n"/>
      <c r="M300" s="25" t="n"/>
      <c r="N300" s="26" t="n"/>
      <c r="O300" s="26" t="n"/>
      <c r="P300" s="27" t="str">
        <f>IF(OR(J300="",K300="",I300="",AF300=0,AD300=""),"",(K300-J300)*AF300*I300*AD300*AE300)</f>
        <v/>
      </c>
      <c r="Q300" s="26" t="n"/>
      <c r="R300" s="28" t="str">
        <f>IF(Q300&lt;&gt;"",Q300,IF(P300="","",P300-N(N300)+N(O300)))</f>
        <v/>
      </c>
      <c r="S300" s="27" t="str">
        <f>IF(OR(L300="",J300="",I300="",AD300=""),"",ABS(J300-L300)*I300*AD300*AE300)</f>
        <v/>
      </c>
      <c r="T300" s="29" t="str">
        <f>IF(OR(R300="",S300="",S300=0),"",R300/S300)</f>
        <v/>
      </c>
      <c r="U300" s="20" t="str">
        <f>IF(R300="","",IF(R300&gt;0,"Ganadora",IF(R300&lt;0,"Perdedora","BE")))</f>
        <v/>
      </c>
      <c r="V300" s="23" t="n"/>
      <c r="W300" s="23" t="n"/>
      <c r="X300" s="23" t="n"/>
      <c r="Y300" s="23" t="n"/>
      <c r="Z300" s="23" t="n"/>
      <c r="AA300" s="23" t="n"/>
      <c r="AB300" s="30" t="n"/>
      <c r="AC300" s="1" t="n"/>
      <c r="AD300" s="1" t="str">
        <f>IF(G300="","",IFERROR(INDEX('Listas'!$N$6:$N$35,MATCH(G300,'Listas'!$M$6:$M$35,0)),""))</f>
        <v/>
      </c>
      <c r="AE300">
        <f>IF(G300="",1,IFERROR(INDEX('Listas'!$P$6:$P$35,MATCH(G300,'Listas'!$M$6:$M$35,0)),1))</f>
        <v>1</v>
      </c>
      <c r="AF300">
        <f>IF(H300="Compra",1,IF(H300="Venta",-1,0))</f>
        <v>0</v>
      </c>
      <c r="AG300">
        <f>IF(AND(D300&lt;&gt;"",ISNUMBER(R300)),1,0)</f>
        <v>0</v>
      </c>
      <c r="AH300">
        <f>IF(AG300=0,0,IF(OR('Panel'!$D$5="Todas las cuentas",'Panel'!$D$5="",F300='Panel'!$D$5),1,0))</f>
        <v>0</v>
      </c>
      <c r="AI300">
        <f>IF(AH300=0,0,IF(AND(OR('Panel'!$G$5="",D300&gt;='Panel'!$G$5),OR('Panel'!$J$5="",D300&lt;='Panel'!$J$5)),1,0))</f>
        <v>0</v>
      </c>
      <c r="AJ300">
        <f>IF(AI300=1,R300,0)</f>
        <v>0</v>
      </c>
      <c r="AK300" t="str">
        <f>IF(AI300=1,'Panel'!$AB$4+SUM($AJ$5:AJ300),"")</f>
        <v/>
      </c>
      <c r="AL300">
        <f>IF(AI300=0,N(AL299),IF(R300&lt;0,N(AL299)+1,0))</f>
        <v>1</v>
      </c>
      <c r="AM300">
        <f>IF(AI300=0,N(AM299),IF(R300&gt;0,N(AM299)+1,0))</f>
        <v>0</v>
      </c>
      <c r="AN300">
        <f>IF(AI300=1,MAX('Panel'!$AB$4,N(AN299),AK300),N(AN299))</f>
        <v>21371.061500000033</v>
      </c>
      <c r="AO300">
        <f>IF(AI300=1,AN300-AK300,0)</f>
        <v>0</v>
      </c>
      <c r="AP300">
        <f>IF(AND(AI300=1,AN300&gt;0),AO300/AN300,0)</f>
        <v>0</v>
      </c>
      <c r="AQ300" t="str">
        <f>IF(AI300=1,SUM($AI$5:AI300),"")</f>
        <v/>
      </c>
      <c r="AR300" t="str">
        <f>IF(AI300=1,IF(COUNTIFS($D$5:D300,D300,$AI$5:AI300,1)=1,SUMIFS($AJ$5:$AJ$504,$D$5:$D$504,D300),""),"")</f>
        <v/>
      </c>
      <c r="AS300" t="str">
        <f>IF(AG300=1,WEEKDAY(D300,2),"")</f>
        <v/>
      </c>
      <c r="AT300" s="31" t="str">
        <f>IF(AG300=1,DATE(YEAR(D300),MONTH(D300),1),"")</f>
        <v/>
      </c>
      <c r="AU300">
        <f>IF(AG300=0,0,IF(AND(OR('Prop challenge'!$D$7="",F300='Prop challenge'!$D$7),OR('Prop challenge'!$D$9="",D300&gt;='Prop challenge'!$D$9)),1,0))</f>
        <v>0</v>
      </c>
      <c r="AV300">
        <f>IF(AU300=1,IF(COUNTIFS($D$5:D300,D300,$AU$5:AU300,1)=1,1,0),0)</f>
        <v>0</v>
      </c>
      <c r="AW300" t="str">
        <f>IF(AV300=1,SUM($AV$5:AV300),"")</f>
        <v/>
      </c>
      <c r="AX300" t="str">
        <f>IF(AV300=1,SUMIFS($R$5:$R$504,$D$5:$D$504,D300,$AU$5:$AU$504,1),"")</f>
        <v/>
      </c>
    </row>
    <row r="301">
      <c r="A301" s="20" t="str">
        <f>IF(AG301=1,ROW()-4,"")</f>
        <v/>
      </c>
      <c r="B301" s="21" t="n"/>
      <c r="C301" s="22" t="n"/>
      <c r="D301" s="21" t="n"/>
      <c r="E301" s="22" t="n"/>
      <c r="F301" s="23" t="n"/>
      <c r="G301" s="23" t="n"/>
      <c r="H301" s="23" t="n"/>
      <c r="I301" s="24" t="n"/>
      <c r="J301" s="25" t="n"/>
      <c r="K301" s="25" t="n"/>
      <c r="L301" s="25" t="n"/>
      <c r="M301" s="25" t="n"/>
      <c r="N301" s="26" t="n"/>
      <c r="O301" s="26" t="n"/>
      <c r="P301" s="27" t="str">
        <f>IF(OR(J301="",K301="",I301="",AF301=0,AD301=""),"",(K301-J301)*AF301*I301*AD301*AE301)</f>
        <v/>
      </c>
      <c r="Q301" s="26" t="n"/>
      <c r="R301" s="28" t="str">
        <f>IF(Q301&lt;&gt;"",Q301,IF(P301="","",P301-N(N301)+N(O301)))</f>
        <v/>
      </c>
      <c r="S301" s="27" t="str">
        <f>IF(OR(L301="",J301="",I301="",AD301=""),"",ABS(J301-L301)*I301*AD301*AE301)</f>
        <v/>
      </c>
      <c r="T301" s="29" t="str">
        <f>IF(OR(R301="",S301="",S301=0),"",R301/S301)</f>
        <v/>
      </c>
      <c r="U301" s="20" t="str">
        <f>IF(R301="","",IF(R301&gt;0,"Ganadora",IF(R301&lt;0,"Perdedora","BE")))</f>
        <v/>
      </c>
      <c r="V301" s="23" t="n"/>
      <c r="W301" s="23" t="n"/>
      <c r="X301" s="23" t="n"/>
      <c r="Y301" s="23" t="n"/>
      <c r="Z301" s="23" t="n"/>
      <c r="AA301" s="23" t="n"/>
      <c r="AB301" s="30" t="n"/>
      <c r="AC301" s="1" t="n"/>
      <c r="AD301" s="1" t="str">
        <f>IF(G301="","",IFERROR(INDEX('Listas'!$N$6:$N$35,MATCH(G301,'Listas'!$M$6:$M$35,0)),""))</f>
        <v/>
      </c>
      <c r="AE301">
        <f>IF(G301="",1,IFERROR(INDEX('Listas'!$P$6:$P$35,MATCH(G301,'Listas'!$M$6:$M$35,0)),1))</f>
        <v>1</v>
      </c>
      <c r="AF301">
        <f>IF(H301="Compra",1,IF(H301="Venta",-1,0))</f>
        <v>0</v>
      </c>
      <c r="AG301">
        <f>IF(AND(D301&lt;&gt;"",ISNUMBER(R301)),1,0)</f>
        <v>0</v>
      </c>
      <c r="AH301">
        <f>IF(AG301=0,0,IF(OR('Panel'!$D$5="Todas las cuentas",'Panel'!$D$5="",F301='Panel'!$D$5),1,0))</f>
        <v>0</v>
      </c>
      <c r="AI301">
        <f>IF(AH301=0,0,IF(AND(OR('Panel'!$G$5="",D301&gt;='Panel'!$G$5),OR('Panel'!$J$5="",D301&lt;='Panel'!$J$5)),1,0))</f>
        <v>0</v>
      </c>
      <c r="AJ301">
        <f>IF(AI301=1,R301,0)</f>
        <v>0</v>
      </c>
      <c r="AK301" t="str">
        <f>IF(AI301=1,'Panel'!$AB$4+SUM($AJ$5:AJ301),"")</f>
        <v/>
      </c>
      <c r="AL301">
        <f>IF(AI301=0,N(AL300),IF(R301&lt;0,N(AL300)+1,0))</f>
        <v>1</v>
      </c>
      <c r="AM301">
        <f>IF(AI301=0,N(AM300),IF(R301&gt;0,N(AM300)+1,0))</f>
        <v>0</v>
      </c>
      <c r="AN301">
        <f>IF(AI301=1,MAX('Panel'!$AB$4,N(AN300),AK301),N(AN300))</f>
        <v>21371.061500000033</v>
      </c>
      <c r="AO301">
        <f>IF(AI301=1,AN301-AK301,0)</f>
        <v>0</v>
      </c>
      <c r="AP301">
        <f>IF(AND(AI301=1,AN301&gt;0),AO301/AN301,0)</f>
        <v>0</v>
      </c>
      <c r="AQ301" t="str">
        <f>IF(AI301=1,SUM($AI$5:AI301),"")</f>
        <v/>
      </c>
      <c r="AR301" t="str">
        <f>IF(AI301=1,IF(COUNTIFS($D$5:D301,D301,$AI$5:AI301,1)=1,SUMIFS($AJ$5:$AJ$504,$D$5:$D$504,D301),""),"")</f>
        <v/>
      </c>
      <c r="AS301" t="str">
        <f>IF(AG301=1,WEEKDAY(D301,2),"")</f>
        <v/>
      </c>
      <c r="AT301" s="31" t="str">
        <f>IF(AG301=1,DATE(YEAR(D301),MONTH(D301),1),"")</f>
        <v/>
      </c>
      <c r="AU301">
        <f>IF(AG301=0,0,IF(AND(OR('Prop challenge'!$D$7="",F301='Prop challenge'!$D$7),OR('Prop challenge'!$D$9="",D301&gt;='Prop challenge'!$D$9)),1,0))</f>
        <v>0</v>
      </c>
      <c r="AV301">
        <f>IF(AU301=1,IF(COUNTIFS($D$5:D301,D301,$AU$5:AU301,1)=1,1,0),0)</f>
        <v>0</v>
      </c>
      <c r="AW301" t="str">
        <f>IF(AV301=1,SUM($AV$5:AV301),"")</f>
        <v/>
      </c>
      <c r="AX301" t="str">
        <f>IF(AV301=1,SUMIFS($R$5:$R$504,$D$5:$D$504,D301,$AU$5:$AU$504,1),"")</f>
        <v/>
      </c>
    </row>
    <row r="302">
      <c r="A302" s="20" t="str">
        <f>IF(AG302=1,ROW()-4,"")</f>
        <v/>
      </c>
      <c r="B302" s="21" t="n"/>
      <c r="C302" s="22" t="n"/>
      <c r="D302" s="21" t="n"/>
      <c r="E302" s="22" t="n"/>
      <c r="F302" s="23" t="n"/>
      <c r="G302" s="23" t="n"/>
      <c r="H302" s="23" t="n"/>
      <c r="I302" s="24" t="n"/>
      <c r="J302" s="25" t="n"/>
      <c r="K302" s="25" t="n"/>
      <c r="L302" s="25" t="n"/>
      <c r="M302" s="25" t="n"/>
      <c r="N302" s="26" t="n"/>
      <c r="O302" s="26" t="n"/>
      <c r="P302" s="27" t="str">
        <f>IF(OR(J302="",K302="",I302="",AF302=0,AD302=""),"",(K302-J302)*AF302*I302*AD302*AE302)</f>
        <v/>
      </c>
      <c r="Q302" s="26" t="n"/>
      <c r="R302" s="28" t="str">
        <f>IF(Q302&lt;&gt;"",Q302,IF(P302="","",P302-N(N302)+N(O302)))</f>
        <v/>
      </c>
      <c r="S302" s="27" t="str">
        <f>IF(OR(L302="",J302="",I302="",AD302=""),"",ABS(J302-L302)*I302*AD302*AE302)</f>
        <v/>
      </c>
      <c r="T302" s="29" t="str">
        <f>IF(OR(R302="",S302="",S302=0),"",R302/S302)</f>
        <v/>
      </c>
      <c r="U302" s="20" t="str">
        <f>IF(R302="","",IF(R302&gt;0,"Ganadora",IF(R302&lt;0,"Perdedora","BE")))</f>
        <v/>
      </c>
      <c r="V302" s="23" t="n"/>
      <c r="W302" s="23" t="n"/>
      <c r="X302" s="23" t="n"/>
      <c r="Y302" s="23" t="n"/>
      <c r="Z302" s="23" t="n"/>
      <c r="AA302" s="23" t="n"/>
      <c r="AB302" s="30" t="n"/>
      <c r="AC302" s="1" t="n"/>
      <c r="AD302" s="1" t="str">
        <f>IF(G302="","",IFERROR(INDEX('Listas'!$N$6:$N$35,MATCH(G302,'Listas'!$M$6:$M$35,0)),""))</f>
        <v/>
      </c>
      <c r="AE302">
        <f>IF(G302="",1,IFERROR(INDEX('Listas'!$P$6:$P$35,MATCH(G302,'Listas'!$M$6:$M$35,0)),1))</f>
        <v>1</v>
      </c>
      <c r="AF302">
        <f>IF(H302="Compra",1,IF(H302="Venta",-1,0))</f>
        <v>0</v>
      </c>
      <c r="AG302">
        <f>IF(AND(D302&lt;&gt;"",ISNUMBER(R302)),1,0)</f>
        <v>0</v>
      </c>
      <c r="AH302">
        <f>IF(AG302=0,0,IF(OR('Panel'!$D$5="Todas las cuentas",'Panel'!$D$5="",F302='Panel'!$D$5),1,0))</f>
        <v>0</v>
      </c>
      <c r="AI302">
        <f>IF(AH302=0,0,IF(AND(OR('Panel'!$G$5="",D302&gt;='Panel'!$G$5),OR('Panel'!$J$5="",D302&lt;='Panel'!$J$5)),1,0))</f>
        <v>0</v>
      </c>
      <c r="AJ302">
        <f>IF(AI302=1,R302,0)</f>
        <v>0</v>
      </c>
      <c r="AK302" t="str">
        <f>IF(AI302=1,'Panel'!$AB$4+SUM($AJ$5:AJ302),"")</f>
        <v/>
      </c>
      <c r="AL302">
        <f>IF(AI302=0,N(AL301),IF(R302&lt;0,N(AL301)+1,0))</f>
        <v>1</v>
      </c>
      <c r="AM302">
        <f>IF(AI302=0,N(AM301),IF(R302&gt;0,N(AM301)+1,0))</f>
        <v>0</v>
      </c>
      <c r="AN302">
        <f>IF(AI302=1,MAX('Panel'!$AB$4,N(AN301),AK302),N(AN301))</f>
        <v>21371.061500000033</v>
      </c>
      <c r="AO302">
        <f>IF(AI302=1,AN302-AK302,0)</f>
        <v>0</v>
      </c>
      <c r="AP302">
        <f>IF(AND(AI302=1,AN302&gt;0),AO302/AN302,0)</f>
        <v>0</v>
      </c>
      <c r="AQ302" t="str">
        <f>IF(AI302=1,SUM($AI$5:AI302),"")</f>
        <v/>
      </c>
      <c r="AR302" t="str">
        <f>IF(AI302=1,IF(COUNTIFS($D$5:D302,D302,$AI$5:AI302,1)=1,SUMIFS($AJ$5:$AJ$504,$D$5:$D$504,D302),""),"")</f>
        <v/>
      </c>
      <c r="AS302" t="str">
        <f>IF(AG302=1,WEEKDAY(D302,2),"")</f>
        <v/>
      </c>
      <c r="AT302" s="31" t="str">
        <f>IF(AG302=1,DATE(YEAR(D302),MONTH(D302),1),"")</f>
        <v/>
      </c>
      <c r="AU302">
        <f>IF(AG302=0,0,IF(AND(OR('Prop challenge'!$D$7="",F302='Prop challenge'!$D$7),OR('Prop challenge'!$D$9="",D302&gt;='Prop challenge'!$D$9)),1,0))</f>
        <v>0</v>
      </c>
      <c r="AV302">
        <f>IF(AU302=1,IF(COUNTIFS($D$5:D302,D302,$AU$5:AU302,1)=1,1,0),0)</f>
        <v>0</v>
      </c>
      <c r="AW302" t="str">
        <f>IF(AV302=1,SUM($AV$5:AV302),"")</f>
        <v/>
      </c>
      <c r="AX302" t="str">
        <f>IF(AV302=1,SUMIFS($R$5:$R$504,$D$5:$D$504,D302,$AU$5:$AU$504,1),"")</f>
        <v/>
      </c>
    </row>
    <row r="303">
      <c r="A303" s="20" t="str">
        <f>IF(AG303=1,ROW()-4,"")</f>
        <v/>
      </c>
      <c r="B303" s="21" t="n"/>
      <c r="C303" s="22" t="n"/>
      <c r="D303" s="21" t="n"/>
      <c r="E303" s="22" t="n"/>
      <c r="F303" s="23" t="n"/>
      <c r="G303" s="23" t="n"/>
      <c r="H303" s="23" t="n"/>
      <c r="I303" s="24" t="n"/>
      <c r="J303" s="25" t="n"/>
      <c r="K303" s="25" t="n"/>
      <c r="L303" s="25" t="n"/>
      <c r="M303" s="25" t="n"/>
      <c r="N303" s="26" t="n"/>
      <c r="O303" s="26" t="n"/>
      <c r="P303" s="27" t="str">
        <f>IF(OR(J303="",K303="",I303="",AF303=0,AD303=""),"",(K303-J303)*AF303*I303*AD303*AE303)</f>
        <v/>
      </c>
      <c r="Q303" s="26" t="n"/>
      <c r="R303" s="28" t="str">
        <f>IF(Q303&lt;&gt;"",Q303,IF(P303="","",P303-N(N303)+N(O303)))</f>
        <v/>
      </c>
      <c r="S303" s="27" t="str">
        <f>IF(OR(L303="",J303="",I303="",AD303=""),"",ABS(J303-L303)*I303*AD303*AE303)</f>
        <v/>
      </c>
      <c r="T303" s="29" t="str">
        <f>IF(OR(R303="",S303="",S303=0),"",R303/S303)</f>
        <v/>
      </c>
      <c r="U303" s="20" t="str">
        <f>IF(R303="","",IF(R303&gt;0,"Ganadora",IF(R303&lt;0,"Perdedora","BE")))</f>
        <v/>
      </c>
      <c r="V303" s="23" t="n"/>
      <c r="W303" s="23" t="n"/>
      <c r="X303" s="23" t="n"/>
      <c r="Y303" s="23" t="n"/>
      <c r="Z303" s="23" t="n"/>
      <c r="AA303" s="23" t="n"/>
      <c r="AB303" s="30" t="n"/>
      <c r="AC303" s="1" t="n"/>
      <c r="AD303" s="1" t="str">
        <f>IF(G303="","",IFERROR(INDEX('Listas'!$N$6:$N$35,MATCH(G303,'Listas'!$M$6:$M$35,0)),""))</f>
        <v/>
      </c>
      <c r="AE303">
        <f>IF(G303="",1,IFERROR(INDEX('Listas'!$P$6:$P$35,MATCH(G303,'Listas'!$M$6:$M$35,0)),1))</f>
        <v>1</v>
      </c>
      <c r="AF303">
        <f>IF(H303="Compra",1,IF(H303="Venta",-1,0))</f>
        <v>0</v>
      </c>
      <c r="AG303">
        <f>IF(AND(D303&lt;&gt;"",ISNUMBER(R303)),1,0)</f>
        <v>0</v>
      </c>
      <c r="AH303">
        <f>IF(AG303=0,0,IF(OR('Panel'!$D$5="Todas las cuentas",'Panel'!$D$5="",F303='Panel'!$D$5),1,0))</f>
        <v>0</v>
      </c>
      <c r="AI303">
        <f>IF(AH303=0,0,IF(AND(OR('Panel'!$G$5="",D303&gt;='Panel'!$G$5),OR('Panel'!$J$5="",D303&lt;='Panel'!$J$5)),1,0))</f>
        <v>0</v>
      </c>
      <c r="AJ303">
        <f>IF(AI303=1,R303,0)</f>
        <v>0</v>
      </c>
      <c r="AK303" t="str">
        <f>IF(AI303=1,'Panel'!$AB$4+SUM($AJ$5:AJ303),"")</f>
        <v/>
      </c>
      <c r="AL303">
        <f>IF(AI303=0,N(AL302),IF(R303&lt;0,N(AL302)+1,0))</f>
        <v>1</v>
      </c>
      <c r="AM303">
        <f>IF(AI303=0,N(AM302),IF(R303&gt;0,N(AM302)+1,0))</f>
        <v>0</v>
      </c>
      <c r="AN303">
        <f>IF(AI303=1,MAX('Panel'!$AB$4,N(AN302),AK303),N(AN302))</f>
        <v>21371.061500000033</v>
      </c>
      <c r="AO303">
        <f>IF(AI303=1,AN303-AK303,0)</f>
        <v>0</v>
      </c>
      <c r="AP303">
        <f>IF(AND(AI303=1,AN303&gt;0),AO303/AN303,0)</f>
        <v>0</v>
      </c>
      <c r="AQ303" t="str">
        <f>IF(AI303=1,SUM($AI$5:AI303),"")</f>
        <v/>
      </c>
      <c r="AR303" t="str">
        <f>IF(AI303=1,IF(COUNTIFS($D$5:D303,D303,$AI$5:AI303,1)=1,SUMIFS($AJ$5:$AJ$504,$D$5:$D$504,D303),""),"")</f>
        <v/>
      </c>
      <c r="AS303" t="str">
        <f>IF(AG303=1,WEEKDAY(D303,2),"")</f>
        <v/>
      </c>
      <c r="AT303" s="31" t="str">
        <f>IF(AG303=1,DATE(YEAR(D303),MONTH(D303),1),"")</f>
        <v/>
      </c>
      <c r="AU303">
        <f>IF(AG303=0,0,IF(AND(OR('Prop challenge'!$D$7="",F303='Prop challenge'!$D$7),OR('Prop challenge'!$D$9="",D303&gt;='Prop challenge'!$D$9)),1,0))</f>
        <v>0</v>
      </c>
      <c r="AV303">
        <f>IF(AU303=1,IF(COUNTIFS($D$5:D303,D303,$AU$5:AU303,1)=1,1,0),0)</f>
        <v>0</v>
      </c>
      <c r="AW303" t="str">
        <f>IF(AV303=1,SUM($AV$5:AV303),"")</f>
        <v/>
      </c>
      <c r="AX303" t="str">
        <f>IF(AV303=1,SUMIFS($R$5:$R$504,$D$5:$D$504,D303,$AU$5:$AU$504,1),"")</f>
        <v/>
      </c>
    </row>
    <row r="304">
      <c r="A304" s="20" t="str">
        <f>IF(AG304=1,ROW()-4,"")</f>
        <v/>
      </c>
      <c r="B304" s="21" t="n"/>
      <c r="C304" s="22" t="n"/>
      <c r="D304" s="21" t="n"/>
      <c r="E304" s="22" t="n"/>
      <c r="F304" s="23" t="n"/>
      <c r="G304" s="23" t="n"/>
      <c r="H304" s="23" t="n"/>
      <c r="I304" s="24" t="n"/>
      <c r="J304" s="25" t="n"/>
      <c r="K304" s="25" t="n"/>
      <c r="L304" s="25" t="n"/>
      <c r="M304" s="25" t="n"/>
      <c r="N304" s="26" t="n"/>
      <c r="O304" s="26" t="n"/>
      <c r="P304" s="27" t="str">
        <f>IF(OR(J304="",K304="",I304="",AF304=0,AD304=""),"",(K304-J304)*AF304*I304*AD304*AE304)</f>
        <v/>
      </c>
      <c r="Q304" s="26" t="n"/>
      <c r="R304" s="28" t="str">
        <f>IF(Q304&lt;&gt;"",Q304,IF(P304="","",P304-N(N304)+N(O304)))</f>
        <v/>
      </c>
      <c r="S304" s="27" t="str">
        <f>IF(OR(L304="",J304="",I304="",AD304=""),"",ABS(J304-L304)*I304*AD304*AE304)</f>
        <v/>
      </c>
      <c r="T304" s="29" t="str">
        <f>IF(OR(R304="",S304="",S304=0),"",R304/S304)</f>
        <v/>
      </c>
      <c r="U304" s="20" t="str">
        <f>IF(R304="","",IF(R304&gt;0,"Ganadora",IF(R304&lt;0,"Perdedora","BE")))</f>
        <v/>
      </c>
      <c r="V304" s="23" t="n"/>
      <c r="W304" s="23" t="n"/>
      <c r="X304" s="23" t="n"/>
      <c r="Y304" s="23" t="n"/>
      <c r="Z304" s="23" t="n"/>
      <c r="AA304" s="23" t="n"/>
      <c r="AB304" s="30" t="n"/>
      <c r="AC304" s="1" t="n"/>
      <c r="AD304" s="1" t="str">
        <f>IF(G304="","",IFERROR(INDEX('Listas'!$N$6:$N$35,MATCH(G304,'Listas'!$M$6:$M$35,0)),""))</f>
        <v/>
      </c>
      <c r="AE304">
        <f>IF(G304="",1,IFERROR(INDEX('Listas'!$P$6:$P$35,MATCH(G304,'Listas'!$M$6:$M$35,0)),1))</f>
        <v>1</v>
      </c>
      <c r="AF304">
        <f>IF(H304="Compra",1,IF(H304="Venta",-1,0))</f>
        <v>0</v>
      </c>
      <c r="AG304">
        <f>IF(AND(D304&lt;&gt;"",ISNUMBER(R304)),1,0)</f>
        <v>0</v>
      </c>
      <c r="AH304">
        <f>IF(AG304=0,0,IF(OR('Panel'!$D$5="Todas las cuentas",'Panel'!$D$5="",F304='Panel'!$D$5),1,0))</f>
        <v>0</v>
      </c>
      <c r="AI304">
        <f>IF(AH304=0,0,IF(AND(OR('Panel'!$G$5="",D304&gt;='Panel'!$G$5),OR('Panel'!$J$5="",D304&lt;='Panel'!$J$5)),1,0))</f>
        <v>0</v>
      </c>
      <c r="AJ304">
        <f>IF(AI304=1,R304,0)</f>
        <v>0</v>
      </c>
      <c r="AK304" t="str">
        <f>IF(AI304=1,'Panel'!$AB$4+SUM($AJ$5:AJ304),"")</f>
        <v/>
      </c>
      <c r="AL304">
        <f>IF(AI304=0,N(AL303),IF(R304&lt;0,N(AL303)+1,0))</f>
        <v>1</v>
      </c>
      <c r="AM304">
        <f>IF(AI304=0,N(AM303),IF(R304&gt;0,N(AM303)+1,0))</f>
        <v>0</v>
      </c>
      <c r="AN304">
        <f>IF(AI304=1,MAX('Panel'!$AB$4,N(AN303),AK304),N(AN303))</f>
        <v>21371.061500000033</v>
      </c>
      <c r="AO304">
        <f>IF(AI304=1,AN304-AK304,0)</f>
        <v>0</v>
      </c>
      <c r="AP304">
        <f>IF(AND(AI304=1,AN304&gt;0),AO304/AN304,0)</f>
        <v>0</v>
      </c>
      <c r="AQ304" t="str">
        <f>IF(AI304=1,SUM($AI$5:AI304),"")</f>
        <v/>
      </c>
      <c r="AR304" t="str">
        <f>IF(AI304=1,IF(COUNTIFS($D$5:D304,D304,$AI$5:AI304,1)=1,SUMIFS($AJ$5:$AJ$504,$D$5:$D$504,D304),""),"")</f>
        <v/>
      </c>
      <c r="AS304" t="str">
        <f>IF(AG304=1,WEEKDAY(D304,2),"")</f>
        <v/>
      </c>
      <c r="AT304" s="31" t="str">
        <f>IF(AG304=1,DATE(YEAR(D304),MONTH(D304),1),"")</f>
        <v/>
      </c>
      <c r="AU304">
        <f>IF(AG304=0,0,IF(AND(OR('Prop challenge'!$D$7="",F304='Prop challenge'!$D$7),OR('Prop challenge'!$D$9="",D304&gt;='Prop challenge'!$D$9)),1,0))</f>
        <v>0</v>
      </c>
      <c r="AV304">
        <f>IF(AU304=1,IF(COUNTIFS($D$5:D304,D304,$AU$5:AU304,1)=1,1,0),0)</f>
        <v>0</v>
      </c>
      <c r="AW304" t="str">
        <f>IF(AV304=1,SUM($AV$5:AV304),"")</f>
        <v/>
      </c>
      <c r="AX304" t="str">
        <f>IF(AV304=1,SUMIFS($R$5:$R$504,$D$5:$D$504,D304,$AU$5:$AU$504,1),"")</f>
        <v/>
      </c>
    </row>
    <row r="305">
      <c r="A305" s="20" t="str">
        <f>IF(AG305=1,ROW()-4,"")</f>
        <v/>
      </c>
      <c r="B305" s="21" t="n"/>
      <c r="C305" s="22" t="n"/>
      <c r="D305" s="21" t="n"/>
      <c r="E305" s="22" t="n"/>
      <c r="F305" s="23" t="n"/>
      <c r="G305" s="23" t="n"/>
      <c r="H305" s="23" t="n"/>
      <c r="I305" s="24" t="n"/>
      <c r="J305" s="25" t="n"/>
      <c r="K305" s="25" t="n"/>
      <c r="L305" s="25" t="n"/>
      <c r="M305" s="25" t="n"/>
      <c r="N305" s="26" t="n"/>
      <c r="O305" s="26" t="n"/>
      <c r="P305" s="27" t="str">
        <f>IF(OR(J305="",K305="",I305="",AF305=0,AD305=""),"",(K305-J305)*AF305*I305*AD305*AE305)</f>
        <v/>
      </c>
      <c r="Q305" s="26" t="n"/>
      <c r="R305" s="28" t="str">
        <f>IF(Q305&lt;&gt;"",Q305,IF(P305="","",P305-N(N305)+N(O305)))</f>
        <v/>
      </c>
      <c r="S305" s="27" t="str">
        <f>IF(OR(L305="",J305="",I305="",AD305=""),"",ABS(J305-L305)*I305*AD305*AE305)</f>
        <v/>
      </c>
      <c r="T305" s="29" t="str">
        <f>IF(OR(R305="",S305="",S305=0),"",R305/S305)</f>
        <v/>
      </c>
      <c r="U305" s="20" t="str">
        <f>IF(R305="","",IF(R305&gt;0,"Ganadora",IF(R305&lt;0,"Perdedora","BE")))</f>
        <v/>
      </c>
      <c r="V305" s="23" t="n"/>
      <c r="W305" s="23" t="n"/>
      <c r="X305" s="23" t="n"/>
      <c r="Y305" s="23" t="n"/>
      <c r="Z305" s="23" t="n"/>
      <c r="AA305" s="23" t="n"/>
      <c r="AB305" s="30" t="n"/>
      <c r="AC305" s="1" t="n"/>
      <c r="AD305" s="1" t="str">
        <f>IF(G305="","",IFERROR(INDEX('Listas'!$N$6:$N$35,MATCH(G305,'Listas'!$M$6:$M$35,0)),""))</f>
        <v/>
      </c>
      <c r="AE305">
        <f>IF(G305="",1,IFERROR(INDEX('Listas'!$P$6:$P$35,MATCH(G305,'Listas'!$M$6:$M$35,0)),1))</f>
        <v>1</v>
      </c>
      <c r="AF305">
        <f>IF(H305="Compra",1,IF(H305="Venta",-1,0))</f>
        <v>0</v>
      </c>
      <c r="AG305">
        <f>IF(AND(D305&lt;&gt;"",ISNUMBER(R305)),1,0)</f>
        <v>0</v>
      </c>
      <c r="AH305">
        <f>IF(AG305=0,0,IF(OR('Panel'!$D$5="Todas las cuentas",'Panel'!$D$5="",F305='Panel'!$D$5),1,0))</f>
        <v>0</v>
      </c>
      <c r="AI305">
        <f>IF(AH305=0,0,IF(AND(OR('Panel'!$G$5="",D305&gt;='Panel'!$G$5),OR('Panel'!$J$5="",D305&lt;='Panel'!$J$5)),1,0))</f>
        <v>0</v>
      </c>
      <c r="AJ305">
        <f>IF(AI305=1,R305,0)</f>
        <v>0</v>
      </c>
      <c r="AK305" t="str">
        <f>IF(AI305=1,'Panel'!$AB$4+SUM($AJ$5:AJ305),"")</f>
        <v/>
      </c>
      <c r="AL305">
        <f>IF(AI305=0,N(AL304),IF(R305&lt;0,N(AL304)+1,0))</f>
        <v>1</v>
      </c>
      <c r="AM305">
        <f>IF(AI305=0,N(AM304),IF(R305&gt;0,N(AM304)+1,0))</f>
        <v>0</v>
      </c>
      <c r="AN305">
        <f>IF(AI305=1,MAX('Panel'!$AB$4,N(AN304),AK305),N(AN304))</f>
        <v>21371.061500000033</v>
      </c>
      <c r="AO305">
        <f>IF(AI305=1,AN305-AK305,0)</f>
        <v>0</v>
      </c>
      <c r="AP305">
        <f>IF(AND(AI305=1,AN305&gt;0),AO305/AN305,0)</f>
        <v>0</v>
      </c>
      <c r="AQ305" t="str">
        <f>IF(AI305=1,SUM($AI$5:AI305),"")</f>
        <v/>
      </c>
      <c r="AR305" t="str">
        <f>IF(AI305=1,IF(COUNTIFS($D$5:D305,D305,$AI$5:AI305,1)=1,SUMIFS($AJ$5:$AJ$504,$D$5:$D$504,D305),""),"")</f>
        <v/>
      </c>
      <c r="AS305" t="str">
        <f>IF(AG305=1,WEEKDAY(D305,2),"")</f>
        <v/>
      </c>
      <c r="AT305" s="31" t="str">
        <f>IF(AG305=1,DATE(YEAR(D305),MONTH(D305),1),"")</f>
        <v/>
      </c>
      <c r="AU305">
        <f>IF(AG305=0,0,IF(AND(OR('Prop challenge'!$D$7="",F305='Prop challenge'!$D$7),OR('Prop challenge'!$D$9="",D305&gt;='Prop challenge'!$D$9)),1,0))</f>
        <v>0</v>
      </c>
      <c r="AV305">
        <f>IF(AU305=1,IF(COUNTIFS($D$5:D305,D305,$AU$5:AU305,1)=1,1,0),0)</f>
        <v>0</v>
      </c>
      <c r="AW305" t="str">
        <f>IF(AV305=1,SUM($AV$5:AV305),"")</f>
        <v/>
      </c>
      <c r="AX305" t="str">
        <f>IF(AV305=1,SUMIFS($R$5:$R$504,$D$5:$D$504,D305,$AU$5:$AU$504,1),"")</f>
        <v/>
      </c>
    </row>
    <row r="306">
      <c r="A306" s="20" t="str">
        <f>IF(AG306=1,ROW()-4,"")</f>
        <v/>
      </c>
      <c r="B306" s="21" t="n"/>
      <c r="C306" s="22" t="n"/>
      <c r="D306" s="21" t="n"/>
      <c r="E306" s="22" t="n"/>
      <c r="F306" s="23" t="n"/>
      <c r="G306" s="23" t="n"/>
      <c r="H306" s="23" t="n"/>
      <c r="I306" s="24" t="n"/>
      <c r="J306" s="25" t="n"/>
      <c r="K306" s="25" t="n"/>
      <c r="L306" s="25" t="n"/>
      <c r="M306" s="25" t="n"/>
      <c r="N306" s="26" t="n"/>
      <c r="O306" s="26" t="n"/>
      <c r="P306" s="27" t="str">
        <f>IF(OR(J306="",K306="",I306="",AF306=0,AD306=""),"",(K306-J306)*AF306*I306*AD306*AE306)</f>
        <v/>
      </c>
      <c r="Q306" s="26" t="n"/>
      <c r="R306" s="28" t="str">
        <f>IF(Q306&lt;&gt;"",Q306,IF(P306="","",P306-N(N306)+N(O306)))</f>
        <v/>
      </c>
      <c r="S306" s="27" t="str">
        <f>IF(OR(L306="",J306="",I306="",AD306=""),"",ABS(J306-L306)*I306*AD306*AE306)</f>
        <v/>
      </c>
      <c r="T306" s="29" t="str">
        <f>IF(OR(R306="",S306="",S306=0),"",R306/S306)</f>
        <v/>
      </c>
      <c r="U306" s="20" t="str">
        <f>IF(R306="","",IF(R306&gt;0,"Ganadora",IF(R306&lt;0,"Perdedora","BE")))</f>
        <v/>
      </c>
      <c r="V306" s="23" t="n"/>
      <c r="W306" s="23" t="n"/>
      <c r="X306" s="23" t="n"/>
      <c r="Y306" s="23" t="n"/>
      <c r="Z306" s="23" t="n"/>
      <c r="AA306" s="23" t="n"/>
      <c r="AB306" s="30" t="n"/>
      <c r="AC306" s="1" t="n"/>
      <c r="AD306" s="1" t="str">
        <f>IF(G306="","",IFERROR(INDEX('Listas'!$N$6:$N$35,MATCH(G306,'Listas'!$M$6:$M$35,0)),""))</f>
        <v/>
      </c>
      <c r="AE306">
        <f>IF(G306="",1,IFERROR(INDEX('Listas'!$P$6:$P$35,MATCH(G306,'Listas'!$M$6:$M$35,0)),1))</f>
        <v>1</v>
      </c>
      <c r="AF306">
        <f>IF(H306="Compra",1,IF(H306="Venta",-1,0))</f>
        <v>0</v>
      </c>
      <c r="AG306">
        <f>IF(AND(D306&lt;&gt;"",ISNUMBER(R306)),1,0)</f>
        <v>0</v>
      </c>
      <c r="AH306">
        <f>IF(AG306=0,0,IF(OR('Panel'!$D$5="Todas las cuentas",'Panel'!$D$5="",F306='Panel'!$D$5),1,0))</f>
        <v>0</v>
      </c>
      <c r="AI306">
        <f>IF(AH306=0,0,IF(AND(OR('Panel'!$G$5="",D306&gt;='Panel'!$G$5),OR('Panel'!$J$5="",D306&lt;='Panel'!$J$5)),1,0))</f>
        <v>0</v>
      </c>
      <c r="AJ306">
        <f>IF(AI306=1,R306,0)</f>
        <v>0</v>
      </c>
      <c r="AK306" t="str">
        <f>IF(AI306=1,'Panel'!$AB$4+SUM($AJ$5:AJ306),"")</f>
        <v/>
      </c>
      <c r="AL306">
        <f>IF(AI306=0,N(AL305),IF(R306&lt;0,N(AL305)+1,0))</f>
        <v>1</v>
      </c>
      <c r="AM306">
        <f>IF(AI306=0,N(AM305),IF(R306&gt;0,N(AM305)+1,0))</f>
        <v>0</v>
      </c>
      <c r="AN306">
        <f>IF(AI306=1,MAX('Panel'!$AB$4,N(AN305),AK306),N(AN305))</f>
        <v>21371.061500000033</v>
      </c>
      <c r="AO306">
        <f>IF(AI306=1,AN306-AK306,0)</f>
        <v>0</v>
      </c>
      <c r="AP306">
        <f>IF(AND(AI306=1,AN306&gt;0),AO306/AN306,0)</f>
        <v>0</v>
      </c>
      <c r="AQ306" t="str">
        <f>IF(AI306=1,SUM($AI$5:AI306),"")</f>
        <v/>
      </c>
      <c r="AR306" t="str">
        <f>IF(AI306=1,IF(COUNTIFS($D$5:D306,D306,$AI$5:AI306,1)=1,SUMIFS($AJ$5:$AJ$504,$D$5:$D$504,D306),""),"")</f>
        <v/>
      </c>
      <c r="AS306" t="str">
        <f>IF(AG306=1,WEEKDAY(D306,2),"")</f>
        <v/>
      </c>
      <c r="AT306" s="31" t="str">
        <f>IF(AG306=1,DATE(YEAR(D306),MONTH(D306),1),"")</f>
        <v/>
      </c>
      <c r="AU306">
        <f>IF(AG306=0,0,IF(AND(OR('Prop challenge'!$D$7="",F306='Prop challenge'!$D$7),OR('Prop challenge'!$D$9="",D306&gt;='Prop challenge'!$D$9)),1,0))</f>
        <v>0</v>
      </c>
      <c r="AV306">
        <f>IF(AU306=1,IF(COUNTIFS($D$5:D306,D306,$AU$5:AU306,1)=1,1,0),0)</f>
        <v>0</v>
      </c>
      <c r="AW306" t="str">
        <f>IF(AV306=1,SUM($AV$5:AV306),"")</f>
        <v/>
      </c>
      <c r="AX306" t="str">
        <f>IF(AV306=1,SUMIFS($R$5:$R$504,$D$5:$D$504,D306,$AU$5:$AU$504,1),"")</f>
        <v/>
      </c>
    </row>
    <row r="307">
      <c r="A307" s="20" t="str">
        <f>IF(AG307=1,ROW()-4,"")</f>
        <v/>
      </c>
      <c r="B307" s="21" t="n"/>
      <c r="C307" s="22" t="n"/>
      <c r="D307" s="21" t="n"/>
      <c r="E307" s="22" t="n"/>
      <c r="F307" s="23" t="n"/>
      <c r="G307" s="23" t="n"/>
      <c r="H307" s="23" t="n"/>
      <c r="I307" s="24" t="n"/>
      <c r="J307" s="25" t="n"/>
      <c r="K307" s="25" t="n"/>
      <c r="L307" s="25" t="n"/>
      <c r="M307" s="25" t="n"/>
      <c r="N307" s="26" t="n"/>
      <c r="O307" s="26" t="n"/>
      <c r="P307" s="27" t="str">
        <f>IF(OR(J307="",K307="",I307="",AF307=0,AD307=""),"",(K307-J307)*AF307*I307*AD307*AE307)</f>
        <v/>
      </c>
      <c r="Q307" s="26" t="n"/>
      <c r="R307" s="28" t="str">
        <f>IF(Q307&lt;&gt;"",Q307,IF(P307="","",P307-N(N307)+N(O307)))</f>
        <v/>
      </c>
      <c r="S307" s="27" t="str">
        <f>IF(OR(L307="",J307="",I307="",AD307=""),"",ABS(J307-L307)*I307*AD307*AE307)</f>
        <v/>
      </c>
      <c r="T307" s="29" t="str">
        <f>IF(OR(R307="",S307="",S307=0),"",R307/S307)</f>
        <v/>
      </c>
      <c r="U307" s="20" t="str">
        <f>IF(R307="","",IF(R307&gt;0,"Ganadora",IF(R307&lt;0,"Perdedora","BE")))</f>
        <v/>
      </c>
      <c r="V307" s="23" t="n"/>
      <c r="W307" s="23" t="n"/>
      <c r="X307" s="23" t="n"/>
      <c r="Y307" s="23" t="n"/>
      <c r="Z307" s="23" t="n"/>
      <c r="AA307" s="23" t="n"/>
      <c r="AB307" s="30" t="n"/>
      <c r="AC307" s="1" t="n"/>
      <c r="AD307" s="1" t="str">
        <f>IF(G307="","",IFERROR(INDEX('Listas'!$N$6:$N$35,MATCH(G307,'Listas'!$M$6:$M$35,0)),""))</f>
        <v/>
      </c>
      <c r="AE307">
        <f>IF(G307="",1,IFERROR(INDEX('Listas'!$P$6:$P$35,MATCH(G307,'Listas'!$M$6:$M$35,0)),1))</f>
        <v>1</v>
      </c>
      <c r="AF307">
        <f>IF(H307="Compra",1,IF(H307="Venta",-1,0))</f>
        <v>0</v>
      </c>
      <c r="AG307">
        <f>IF(AND(D307&lt;&gt;"",ISNUMBER(R307)),1,0)</f>
        <v>0</v>
      </c>
      <c r="AH307">
        <f>IF(AG307=0,0,IF(OR('Panel'!$D$5="Todas las cuentas",'Panel'!$D$5="",F307='Panel'!$D$5),1,0))</f>
        <v>0</v>
      </c>
      <c r="AI307">
        <f>IF(AH307=0,0,IF(AND(OR('Panel'!$G$5="",D307&gt;='Panel'!$G$5),OR('Panel'!$J$5="",D307&lt;='Panel'!$J$5)),1,0))</f>
        <v>0</v>
      </c>
      <c r="AJ307">
        <f>IF(AI307=1,R307,0)</f>
        <v>0</v>
      </c>
      <c r="AK307" t="str">
        <f>IF(AI307=1,'Panel'!$AB$4+SUM($AJ$5:AJ307),"")</f>
        <v/>
      </c>
      <c r="AL307">
        <f>IF(AI307=0,N(AL306),IF(R307&lt;0,N(AL306)+1,0))</f>
        <v>1</v>
      </c>
      <c r="AM307">
        <f>IF(AI307=0,N(AM306),IF(R307&gt;0,N(AM306)+1,0))</f>
        <v>0</v>
      </c>
      <c r="AN307">
        <f>IF(AI307=1,MAX('Panel'!$AB$4,N(AN306),AK307),N(AN306))</f>
        <v>21371.061500000033</v>
      </c>
      <c r="AO307">
        <f>IF(AI307=1,AN307-AK307,0)</f>
        <v>0</v>
      </c>
      <c r="AP307">
        <f>IF(AND(AI307=1,AN307&gt;0),AO307/AN307,0)</f>
        <v>0</v>
      </c>
      <c r="AQ307" t="str">
        <f>IF(AI307=1,SUM($AI$5:AI307),"")</f>
        <v/>
      </c>
      <c r="AR307" t="str">
        <f>IF(AI307=1,IF(COUNTIFS($D$5:D307,D307,$AI$5:AI307,1)=1,SUMIFS($AJ$5:$AJ$504,$D$5:$D$504,D307),""),"")</f>
        <v/>
      </c>
      <c r="AS307" t="str">
        <f>IF(AG307=1,WEEKDAY(D307,2),"")</f>
        <v/>
      </c>
      <c r="AT307" s="31" t="str">
        <f>IF(AG307=1,DATE(YEAR(D307),MONTH(D307),1),"")</f>
        <v/>
      </c>
      <c r="AU307">
        <f>IF(AG307=0,0,IF(AND(OR('Prop challenge'!$D$7="",F307='Prop challenge'!$D$7),OR('Prop challenge'!$D$9="",D307&gt;='Prop challenge'!$D$9)),1,0))</f>
        <v>0</v>
      </c>
      <c r="AV307">
        <f>IF(AU307=1,IF(COUNTIFS($D$5:D307,D307,$AU$5:AU307,1)=1,1,0),0)</f>
        <v>0</v>
      </c>
      <c r="AW307" t="str">
        <f>IF(AV307=1,SUM($AV$5:AV307),"")</f>
        <v/>
      </c>
      <c r="AX307" t="str">
        <f>IF(AV307=1,SUMIFS($R$5:$R$504,$D$5:$D$504,D307,$AU$5:$AU$504,1),"")</f>
        <v/>
      </c>
    </row>
    <row r="308">
      <c r="A308" s="20" t="str">
        <f>IF(AG308=1,ROW()-4,"")</f>
        <v/>
      </c>
      <c r="B308" s="21" t="n"/>
      <c r="C308" s="22" t="n"/>
      <c r="D308" s="21" t="n"/>
      <c r="E308" s="22" t="n"/>
      <c r="F308" s="23" t="n"/>
      <c r="G308" s="23" t="n"/>
      <c r="H308" s="23" t="n"/>
      <c r="I308" s="24" t="n"/>
      <c r="J308" s="25" t="n"/>
      <c r="K308" s="25" t="n"/>
      <c r="L308" s="25" t="n"/>
      <c r="M308" s="25" t="n"/>
      <c r="N308" s="26" t="n"/>
      <c r="O308" s="26" t="n"/>
      <c r="P308" s="27" t="str">
        <f>IF(OR(J308="",K308="",I308="",AF308=0,AD308=""),"",(K308-J308)*AF308*I308*AD308*AE308)</f>
        <v/>
      </c>
      <c r="Q308" s="26" t="n"/>
      <c r="R308" s="28" t="str">
        <f>IF(Q308&lt;&gt;"",Q308,IF(P308="","",P308-N(N308)+N(O308)))</f>
        <v/>
      </c>
      <c r="S308" s="27" t="str">
        <f>IF(OR(L308="",J308="",I308="",AD308=""),"",ABS(J308-L308)*I308*AD308*AE308)</f>
        <v/>
      </c>
      <c r="T308" s="29" t="str">
        <f>IF(OR(R308="",S308="",S308=0),"",R308/S308)</f>
        <v/>
      </c>
      <c r="U308" s="20" t="str">
        <f>IF(R308="","",IF(R308&gt;0,"Ganadora",IF(R308&lt;0,"Perdedora","BE")))</f>
        <v/>
      </c>
      <c r="V308" s="23" t="n"/>
      <c r="W308" s="23" t="n"/>
      <c r="X308" s="23" t="n"/>
      <c r="Y308" s="23" t="n"/>
      <c r="Z308" s="23" t="n"/>
      <c r="AA308" s="23" t="n"/>
      <c r="AB308" s="30" t="n"/>
      <c r="AC308" s="1" t="n"/>
      <c r="AD308" s="1" t="str">
        <f>IF(G308="","",IFERROR(INDEX('Listas'!$N$6:$N$35,MATCH(G308,'Listas'!$M$6:$M$35,0)),""))</f>
        <v/>
      </c>
      <c r="AE308">
        <f>IF(G308="",1,IFERROR(INDEX('Listas'!$P$6:$P$35,MATCH(G308,'Listas'!$M$6:$M$35,0)),1))</f>
        <v>1</v>
      </c>
      <c r="AF308">
        <f>IF(H308="Compra",1,IF(H308="Venta",-1,0))</f>
        <v>0</v>
      </c>
      <c r="AG308">
        <f>IF(AND(D308&lt;&gt;"",ISNUMBER(R308)),1,0)</f>
        <v>0</v>
      </c>
      <c r="AH308">
        <f>IF(AG308=0,0,IF(OR('Panel'!$D$5="Todas las cuentas",'Panel'!$D$5="",F308='Panel'!$D$5),1,0))</f>
        <v>0</v>
      </c>
      <c r="AI308">
        <f>IF(AH308=0,0,IF(AND(OR('Panel'!$G$5="",D308&gt;='Panel'!$G$5),OR('Panel'!$J$5="",D308&lt;='Panel'!$J$5)),1,0))</f>
        <v>0</v>
      </c>
      <c r="AJ308">
        <f>IF(AI308=1,R308,0)</f>
        <v>0</v>
      </c>
      <c r="AK308" t="str">
        <f>IF(AI308=1,'Panel'!$AB$4+SUM($AJ$5:AJ308),"")</f>
        <v/>
      </c>
      <c r="AL308">
        <f>IF(AI308=0,N(AL307),IF(R308&lt;0,N(AL307)+1,0))</f>
        <v>1</v>
      </c>
      <c r="AM308">
        <f>IF(AI308=0,N(AM307),IF(R308&gt;0,N(AM307)+1,0))</f>
        <v>0</v>
      </c>
      <c r="AN308">
        <f>IF(AI308=1,MAX('Panel'!$AB$4,N(AN307),AK308),N(AN307))</f>
        <v>21371.061500000033</v>
      </c>
      <c r="AO308">
        <f>IF(AI308=1,AN308-AK308,0)</f>
        <v>0</v>
      </c>
      <c r="AP308">
        <f>IF(AND(AI308=1,AN308&gt;0),AO308/AN308,0)</f>
        <v>0</v>
      </c>
      <c r="AQ308" t="str">
        <f>IF(AI308=1,SUM($AI$5:AI308),"")</f>
        <v/>
      </c>
      <c r="AR308" t="str">
        <f>IF(AI308=1,IF(COUNTIFS($D$5:D308,D308,$AI$5:AI308,1)=1,SUMIFS($AJ$5:$AJ$504,$D$5:$D$504,D308),""),"")</f>
        <v/>
      </c>
      <c r="AS308" t="str">
        <f>IF(AG308=1,WEEKDAY(D308,2),"")</f>
        <v/>
      </c>
      <c r="AT308" s="31" t="str">
        <f>IF(AG308=1,DATE(YEAR(D308),MONTH(D308),1),"")</f>
        <v/>
      </c>
      <c r="AU308">
        <f>IF(AG308=0,0,IF(AND(OR('Prop challenge'!$D$7="",F308='Prop challenge'!$D$7),OR('Prop challenge'!$D$9="",D308&gt;='Prop challenge'!$D$9)),1,0))</f>
        <v>0</v>
      </c>
      <c r="AV308">
        <f>IF(AU308=1,IF(COUNTIFS($D$5:D308,D308,$AU$5:AU308,1)=1,1,0),0)</f>
        <v>0</v>
      </c>
      <c r="AW308" t="str">
        <f>IF(AV308=1,SUM($AV$5:AV308),"")</f>
        <v/>
      </c>
      <c r="AX308" t="str">
        <f>IF(AV308=1,SUMIFS($R$5:$R$504,$D$5:$D$504,D308,$AU$5:$AU$504,1),"")</f>
        <v/>
      </c>
    </row>
    <row r="309">
      <c r="A309" s="20" t="str">
        <f>IF(AG309=1,ROW()-4,"")</f>
        <v/>
      </c>
      <c r="B309" s="21" t="n"/>
      <c r="C309" s="22" t="n"/>
      <c r="D309" s="21" t="n"/>
      <c r="E309" s="22" t="n"/>
      <c r="F309" s="23" t="n"/>
      <c r="G309" s="23" t="n"/>
      <c r="H309" s="23" t="n"/>
      <c r="I309" s="24" t="n"/>
      <c r="J309" s="25" t="n"/>
      <c r="K309" s="25" t="n"/>
      <c r="L309" s="25" t="n"/>
      <c r="M309" s="25" t="n"/>
      <c r="N309" s="26" t="n"/>
      <c r="O309" s="26" t="n"/>
      <c r="P309" s="27" t="str">
        <f>IF(OR(J309="",K309="",I309="",AF309=0,AD309=""),"",(K309-J309)*AF309*I309*AD309*AE309)</f>
        <v/>
      </c>
      <c r="Q309" s="26" t="n"/>
      <c r="R309" s="28" t="str">
        <f>IF(Q309&lt;&gt;"",Q309,IF(P309="","",P309-N(N309)+N(O309)))</f>
        <v/>
      </c>
      <c r="S309" s="27" t="str">
        <f>IF(OR(L309="",J309="",I309="",AD309=""),"",ABS(J309-L309)*I309*AD309*AE309)</f>
        <v/>
      </c>
      <c r="T309" s="29" t="str">
        <f>IF(OR(R309="",S309="",S309=0),"",R309/S309)</f>
        <v/>
      </c>
      <c r="U309" s="20" t="str">
        <f>IF(R309="","",IF(R309&gt;0,"Ganadora",IF(R309&lt;0,"Perdedora","BE")))</f>
        <v/>
      </c>
      <c r="V309" s="23" t="n"/>
      <c r="W309" s="23" t="n"/>
      <c r="X309" s="23" t="n"/>
      <c r="Y309" s="23" t="n"/>
      <c r="Z309" s="23" t="n"/>
      <c r="AA309" s="23" t="n"/>
      <c r="AB309" s="30" t="n"/>
      <c r="AC309" s="1" t="n"/>
      <c r="AD309" s="1" t="str">
        <f>IF(G309="","",IFERROR(INDEX('Listas'!$N$6:$N$35,MATCH(G309,'Listas'!$M$6:$M$35,0)),""))</f>
        <v/>
      </c>
      <c r="AE309">
        <f>IF(G309="",1,IFERROR(INDEX('Listas'!$P$6:$P$35,MATCH(G309,'Listas'!$M$6:$M$35,0)),1))</f>
        <v>1</v>
      </c>
      <c r="AF309">
        <f>IF(H309="Compra",1,IF(H309="Venta",-1,0))</f>
        <v>0</v>
      </c>
      <c r="AG309">
        <f>IF(AND(D309&lt;&gt;"",ISNUMBER(R309)),1,0)</f>
        <v>0</v>
      </c>
      <c r="AH309">
        <f>IF(AG309=0,0,IF(OR('Panel'!$D$5="Todas las cuentas",'Panel'!$D$5="",F309='Panel'!$D$5),1,0))</f>
        <v>0</v>
      </c>
      <c r="AI309">
        <f>IF(AH309=0,0,IF(AND(OR('Panel'!$G$5="",D309&gt;='Panel'!$G$5),OR('Panel'!$J$5="",D309&lt;='Panel'!$J$5)),1,0))</f>
        <v>0</v>
      </c>
      <c r="AJ309">
        <f>IF(AI309=1,R309,0)</f>
        <v>0</v>
      </c>
      <c r="AK309" t="str">
        <f>IF(AI309=1,'Panel'!$AB$4+SUM($AJ$5:AJ309),"")</f>
        <v/>
      </c>
      <c r="AL309">
        <f>IF(AI309=0,N(AL308),IF(R309&lt;0,N(AL308)+1,0))</f>
        <v>1</v>
      </c>
      <c r="AM309">
        <f>IF(AI309=0,N(AM308),IF(R309&gt;0,N(AM308)+1,0))</f>
        <v>0</v>
      </c>
      <c r="AN309">
        <f>IF(AI309=1,MAX('Panel'!$AB$4,N(AN308),AK309),N(AN308))</f>
        <v>21371.061500000033</v>
      </c>
      <c r="AO309">
        <f>IF(AI309=1,AN309-AK309,0)</f>
        <v>0</v>
      </c>
      <c r="AP309">
        <f>IF(AND(AI309=1,AN309&gt;0),AO309/AN309,0)</f>
        <v>0</v>
      </c>
      <c r="AQ309" t="str">
        <f>IF(AI309=1,SUM($AI$5:AI309),"")</f>
        <v/>
      </c>
      <c r="AR309" t="str">
        <f>IF(AI309=1,IF(COUNTIFS($D$5:D309,D309,$AI$5:AI309,1)=1,SUMIFS($AJ$5:$AJ$504,$D$5:$D$504,D309),""),"")</f>
        <v/>
      </c>
      <c r="AS309" t="str">
        <f>IF(AG309=1,WEEKDAY(D309,2),"")</f>
        <v/>
      </c>
      <c r="AT309" s="31" t="str">
        <f>IF(AG309=1,DATE(YEAR(D309),MONTH(D309),1),"")</f>
        <v/>
      </c>
      <c r="AU309">
        <f>IF(AG309=0,0,IF(AND(OR('Prop challenge'!$D$7="",F309='Prop challenge'!$D$7),OR('Prop challenge'!$D$9="",D309&gt;='Prop challenge'!$D$9)),1,0))</f>
        <v>0</v>
      </c>
      <c r="AV309">
        <f>IF(AU309=1,IF(COUNTIFS($D$5:D309,D309,$AU$5:AU309,1)=1,1,0),0)</f>
        <v>0</v>
      </c>
      <c r="AW309" t="str">
        <f>IF(AV309=1,SUM($AV$5:AV309),"")</f>
        <v/>
      </c>
      <c r="AX309" t="str">
        <f>IF(AV309=1,SUMIFS($R$5:$R$504,$D$5:$D$504,D309,$AU$5:$AU$504,1),"")</f>
        <v/>
      </c>
    </row>
    <row r="310">
      <c r="A310" s="20" t="str">
        <f>IF(AG310=1,ROW()-4,"")</f>
        <v/>
      </c>
      <c r="B310" s="21" t="n"/>
      <c r="C310" s="22" t="n"/>
      <c r="D310" s="21" t="n"/>
      <c r="E310" s="22" t="n"/>
      <c r="F310" s="23" t="n"/>
      <c r="G310" s="23" t="n"/>
      <c r="H310" s="23" t="n"/>
      <c r="I310" s="24" t="n"/>
      <c r="J310" s="25" t="n"/>
      <c r="K310" s="25" t="n"/>
      <c r="L310" s="25" t="n"/>
      <c r="M310" s="25" t="n"/>
      <c r="N310" s="26" t="n"/>
      <c r="O310" s="26" t="n"/>
      <c r="P310" s="27" t="str">
        <f>IF(OR(J310="",K310="",I310="",AF310=0,AD310=""),"",(K310-J310)*AF310*I310*AD310*AE310)</f>
        <v/>
      </c>
      <c r="Q310" s="26" t="n"/>
      <c r="R310" s="28" t="str">
        <f>IF(Q310&lt;&gt;"",Q310,IF(P310="","",P310-N(N310)+N(O310)))</f>
        <v/>
      </c>
      <c r="S310" s="27" t="str">
        <f>IF(OR(L310="",J310="",I310="",AD310=""),"",ABS(J310-L310)*I310*AD310*AE310)</f>
        <v/>
      </c>
      <c r="T310" s="29" t="str">
        <f>IF(OR(R310="",S310="",S310=0),"",R310/S310)</f>
        <v/>
      </c>
      <c r="U310" s="20" t="str">
        <f>IF(R310="","",IF(R310&gt;0,"Ganadora",IF(R310&lt;0,"Perdedora","BE")))</f>
        <v/>
      </c>
      <c r="V310" s="23" t="n"/>
      <c r="W310" s="23" t="n"/>
      <c r="X310" s="23" t="n"/>
      <c r="Y310" s="23" t="n"/>
      <c r="Z310" s="23" t="n"/>
      <c r="AA310" s="23" t="n"/>
      <c r="AB310" s="30" t="n"/>
      <c r="AC310" s="1" t="n"/>
      <c r="AD310" s="1" t="str">
        <f>IF(G310="","",IFERROR(INDEX('Listas'!$N$6:$N$35,MATCH(G310,'Listas'!$M$6:$M$35,0)),""))</f>
        <v/>
      </c>
      <c r="AE310">
        <f>IF(G310="",1,IFERROR(INDEX('Listas'!$P$6:$P$35,MATCH(G310,'Listas'!$M$6:$M$35,0)),1))</f>
        <v>1</v>
      </c>
      <c r="AF310">
        <f>IF(H310="Compra",1,IF(H310="Venta",-1,0))</f>
        <v>0</v>
      </c>
      <c r="AG310">
        <f>IF(AND(D310&lt;&gt;"",ISNUMBER(R310)),1,0)</f>
        <v>0</v>
      </c>
      <c r="AH310">
        <f>IF(AG310=0,0,IF(OR('Panel'!$D$5="Todas las cuentas",'Panel'!$D$5="",F310='Panel'!$D$5),1,0))</f>
        <v>0</v>
      </c>
      <c r="AI310">
        <f>IF(AH310=0,0,IF(AND(OR('Panel'!$G$5="",D310&gt;='Panel'!$G$5),OR('Panel'!$J$5="",D310&lt;='Panel'!$J$5)),1,0))</f>
        <v>0</v>
      </c>
      <c r="AJ310">
        <f>IF(AI310=1,R310,0)</f>
        <v>0</v>
      </c>
      <c r="AK310" t="str">
        <f>IF(AI310=1,'Panel'!$AB$4+SUM($AJ$5:AJ310),"")</f>
        <v/>
      </c>
      <c r="AL310">
        <f>IF(AI310=0,N(AL309),IF(R310&lt;0,N(AL309)+1,0))</f>
        <v>1</v>
      </c>
      <c r="AM310">
        <f>IF(AI310=0,N(AM309),IF(R310&gt;0,N(AM309)+1,0))</f>
        <v>0</v>
      </c>
      <c r="AN310">
        <f>IF(AI310=1,MAX('Panel'!$AB$4,N(AN309),AK310),N(AN309))</f>
        <v>21371.061500000033</v>
      </c>
      <c r="AO310">
        <f>IF(AI310=1,AN310-AK310,0)</f>
        <v>0</v>
      </c>
      <c r="AP310">
        <f>IF(AND(AI310=1,AN310&gt;0),AO310/AN310,0)</f>
        <v>0</v>
      </c>
      <c r="AQ310" t="str">
        <f>IF(AI310=1,SUM($AI$5:AI310),"")</f>
        <v/>
      </c>
      <c r="AR310" t="str">
        <f>IF(AI310=1,IF(COUNTIFS($D$5:D310,D310,$AI$5:AI310,1)=1,SUMIFS($AJ$5:$AJ$504,$D$5:$D$504,D310),""),"")</f>
        <v/>
      </c>
      <c r="AS310" t="str">
        <f>IF(AG310=1,WEEKDAY(D310,2),"")</f>
        <v/>
      </c>
      <c r="AT310" s="31" t="str">
        <f>IF(AG310=1,DATE(YEAR(D310),MONTH(D310),1),"")</f>
        <v/>
      </c>
      <c r="AU310">
        <f>IF(AG310=0,0,IF(AND(OR('Prop challenge'!$D$7="",F310='Prop challenge'!$D$7),OR('Prop challenge'!$D$9="",D310&gt;='Prop challenge'!$D$9)),1,0))</f>
        <v>0</v>
      </c>
      <c r="AV310">
        <f>IF(AU310=1,IF(COUNTIFS($D$5:D310,D310,$AU$5:AU310,1)=1,1,0),0)</f>
        <v>0</v>
      </c>
      <c r="AW310" t="str">
        <f>IF(AV310=1,SUM($AV$5:AV310),"")</f>
        <v/>
      </c>
      <c r="AX310" t="str">
        <f>IF(AV310=1,SUMIFS($R$5:$R$504,$D$5:$D$504,D310,$AU$5:$AU$504,1),"")</f>
        <v/>
      </c>
    </row>
    <row r="311">
      <c r="A311" s="20" t="str">
        <f>IF(AG311=1,ROW()-4,"")</f>
        <v/>
      </c>
      <c r="B311" s="21" t="n"/>
      <c r="C311" s="22" t="n"/>
      <c r="D311" s="21" t="n"/>
      <c r="E311" s="22" t="n"/>
      <c r="F311" s="23" t="n"/>
      <c r="G311" s="23" t="n"/>
      <c r="H311" s="23" t="n"/>
      <c r="I311" s="24" t="n"/>
      <c r="J311" s="25" t="n"/>
      <c r="K311" s="25" t="n"/>
      <c r="L311" s="25" t="n"/>
      <c r="M311" s="25" t="n"/>
      <c r="N311" s="26" t="n"/>
      <c r="O311" s="26" t="n"/>
      <c r="P311" s="27" t="str">
        <f>IF(OR(J311="",K311="",I311="",AF311=0,AD311=""),"",(K311-J311)*AF311*I311*AD311*AE311)</f>
        <v/>
      </c>
      <c r="Q311" s="26" t="n"/>
      <c r="R311" s="28" t="str">
        <f>IF(Q311&lt;&gt;"",Q311,IF(P311="","",P311-N(N311)+N(O311)))</f>
        <v/>
      </c>
      <c r="S311" s="27" t="str">
        <f>IF(OR(L311="",J311="",I311="",AD311=""),"",ABS(J311-L311)*I311*AD311*AE311)</f>
        <v/>
      </c>
      <c r="T311" s="29" t="str">
        <f>IF(OR(R311="",S311="",S311=0),"",R311/S311)</f>
        <v/>
      </c>
      <c r="U311" s="20" t="str">
        <f>IF(R311="","",IF(R311&gt;0,"Ganadora",IF(R311&lt;0,"Perdedora","BE")))</f>
        <v/>
      </c>
      <c r="V311" s="23" t="n"/>
      <c r="W311" s="23" t="n"/>
      <c r="X311" s="23" t="n"/>
      <c r="Y311" s="23" t="n"/>
      <c r="Z311" s="23" t="n"/>
      <c r="AA311" s="23" t="n"/>
      <c r="AB311" s="30" t="n"/>
      <c r="AC311" s="1" t="n"/>
      <c r="AD311" s="1" t="str">
        <f>IF(G311="","",IFERROR(INDEX('Listas'!$N$6:$N$35,MATCH(G311,'Listas'!$M$6:$M$35,0)),""))</f>
        <v/>
      </c>
      <c r="AE311">
        <f>IF(G311="",1,IFERROR(INDEX('Listas'!$P$6:$P$35,MATCH(G311,'Listas'!$M$6:$M$35,0)),1))</f>
        <v>1</v>
      </c>
      <c r="AF311">
        <f>IF(H311="Compra",1,IF(H311="Venta",-1,0))</f>
        <v>0</v>
      </c>
      <c r="AG311">
        <f>IF(AND(D311&lt;&gt;"",ISNUMBER(R311)),1,0)</f>
        <v>0</v>
      </c>
      <c r="AH311">
        <f>IF(AG311=0,0,IF(OR('Panel'!$D$5="Todas las cuentas",'Panel'!$D$5="",F311='Panel'!$D$5),1,0))</f>
        <v>0</v>
      </c>
      <c r="AI311">
        <f>IF(AH311=0,0,IF(AND(OR('Panel'!$G$5="",D311&gt;='Panel'!$G$5),OR('Panel'!$J$5="",D311&lt;='Panel'!$J$5)),1,0))</f>
        <v>0</v>
      </c>
      <c r="AJ311">
        <f>IF(AI311=1,R311,0)</f>
        <v>0</v>
      </c>
      <c r="AK311" t="str">
        <f>IF(AI311=1,'Panel'!$AB$4+SUM($AJ$5:AJ311),"")</f>
        <v/>
      </c>
      <c r="AL311">
        <f>IF(AI311=0,N(AL310),IF(R311&lt;0,N(AL310)+1,0))</f>
        <v>1</v>
      </c>
      <c r="AM311">
        <f>IF(AI311=0,N(AM310),IF(R311&gt;0,N(AM310)+1,0))</f>
        <v>0</v>
      </c>
      <c r="AN311">
        <f>IF(AI311=1,MAX('Panel'!$AB$4,N(AN310),AK311),N(AN310))</f>
        <v>21371.061500000033</v>
      </c>
      <c r="AO311">
        <f>IF(AI311=1,AN311-AK311,0)</f>
        <v>0</v>
      </c>
      <c r="AP311">
        <f>IF(AND(AI311=1,AN311&gt;0),AO311/AN311,0)</f>
        <v>0</v>
      </c>
      <c r="AQ311" t="str">
        <f>IF(AI311=1,SUM($AI$5:AI311),"")</f>
        <v/>
      </c>
      <c r="AR311" t="str">
        <f>IF(AI311=1,IF(COUNTIFS($D$5:D311,D311,$AI$5:AI311,1)=1,SUMIFS($AJ$5:$AJ$504,$D$5:$D$504,D311),""),"")</f>
        <v/>
      </c>
      <c r="AS311" t="str">
        <f>IF(AG311=1,WEEKDAY(D311,2),"")</f>
        <v/>
      </c>
      <c r="AT311" s="31" t="str">
        <f>IF(AG311=1,DATE(YEAR(D311),MONTH(D311),1),"")</f>
        <v/>
      </c>
      <c r="AU311">
        <f>IF(AG311=0,0,IF(AND(OR('Prop challenge'!$D$7="",F311='Prop challenge'!$D$7),OR('Prop challenge'!$D$9="",D311&gt;='Prop challenge'!$D$9)),1,0))</f>
        <v>0</v>
      </c>
      <c r="AV311">
        <f>IF(AU311=1,IF(COUNTIFS($D$5:D311,D311,$AU$5:AU311,1)=1,1,0),0)</f>
        <v>0</v>
      </c>
      <c r="AW311" t="str">
        <f>IF(AV311=1,SUM($AV$5:AV311),"")</f>
        <v/>
      </c>
      <c r="AX311" t="str">
        <f>IF(AV311=1,SUMIFS($R$5:$R$504,$D$5:$D$504,D311,$AU$5:$AU$504,1),"")</f>
        <v/>
      </c>
    </row>
    <row r="312">
      <c r="A312" s="20" t="str">
        <f>IF(AG312=1,ROW()-4,"")</f>
        <v/>
      </c>
      <c r="B312" s="21" t="n"/>
      <c r="C312" s="22" t="n"/>
      <c r="D312" s="21" t="n"/>
      <c r="E312" s="22" t="n"/>
      <c r="F312" s="23" t="n"/>
      <c r="G312" s="23" t="n"/>
      <c r="H312" s="23" t="n"/>
      <c r="I312" s="24" t="n"/>
      <c r="J312" s="25" t="n"/>
      <c r="K312" s="25" t="n"/>
      <c r="L312" s="25" t="n"/>
      <c r="M312" s="25" t="n"/>
      <c r="N312" s="26" t="n"/>
      <c r="O312" s="26" t="n"/>
      <c r="P312" s="27" t="str">
        <f>IF(OR(J312="",K312="",I312="",AF312=0,AD312=""),"",(K312-J312)*AF312*I312*AD312*AE312)</f>
        <v/>
      </c>
      <c r="Q312" s="26" t="n"/>
      <c r="R312" s="28" t="str">
        <f>IF(Q312&lt;&gt;"",Q312,IF(P312="","",P312-N(N312)+N(O312)))</f>
        <v/>
      </c>
      <c r="S312" s="27" t="str">
        <f>IF(OR(L312="",J312="",I312="",AD312=""),"",ABS(J312-L312)*I312*AD312*AE312)</f>
        <v/>
      </c>
      <c r="T312" s="29" t="str">
        <f>IF(OR(R312="",S312="",S312=0),"",R312/S312)</f>
        <v/>
      </c>
      <c r="U312" s="20" t="str">
        <f>IF(R312="","",IF(R312&gt;0,"Ganadora",IF(R312&lt;0,"Perdedora","BE")))</f>
        <v/>
      </c>
      <c r="V312" s="23" t="n"/>
      <c r="W312" s="23" t="n"/>
      <c r="X312" s="23" t="n"/>
      <c r="Y312" s="23" t="n"/>
      <c r="Z312" s="23" t="n"/>
      <c r="AA312" s="23" t="n"/>
      <c r="AB312" s="30" t="n"/>
      <c r="AC312" s="1" t="n"/>
      <c r="AD312" s="1" t="str">
        <f>IF(G312="","",IFERROR(INDEX('Listas'!$N$6:$N$35,MATCH(G312,'Listas'!$M$6:$M$35,0)),""))</f>
        <v/>
      </c>
      <c r="AE312">
        <f>IF(G312="",1,IFERROR(INDEX('Listas'!$P$6:$P$35,MATCH(G312,'Listas'!$M$6:$M$35,0)),1))</f>
        <v>1</v>
      </c>
      <c r="AF312">
        <f>IF(H312="Compra",1,IF(H312="Venta",-1,0))</f>
        <v>0</v>
      </c>
      <c r="AG312">
        <f>IF(AND(D312&lt;&gt;"",ISNUMBER(R312)),1,0)</f>
        <v>0</v>
      </c>
      <c r="AH312">
        <f>IF(AG312=0,0,IF(OR('Panel'!$D$5="Todas las cuentas",'Panel'!$D$5="",F312='Panel'!$D$5),1,0))</f>
        <v>0</v>
      </c>
      <c r="AI312">
        <f>IF(AH312=0,0,IF(AND(OR('Panel'!$G$5="",D312&gt;='Panel'!$G$5),OR('Panel'!$J$5="",D312&lt;='Panel'!$J$5)),1,0))</f>
        <v>0</v>
      </c>
      <c r="AJ312">
        <f>IF(AI312=1,R312,0)</f>
        <v>0</v>
      </c>
      <c r="AK312" t="str">
        <f>IF(AI312=1,'Panel'!$AB$4+SUM($AJ$5:AJ312),"")</f>
        <v/>
      </c>
      <c r="AL312">
        <f>IF(AI312=0,N(AL311),IF(R312&lt;0,N(AL311)+1,0))</f>
        <v>1</v>
      </c>
      <c r="AM312">
        <f>IF(AI312=0,N(AM311),IF(R312&gt;0,N(AM311)+1,0))</f>
        <v>0</v>
      </c>
      <c r="AN312">
        <f>IF(AI312=1,MAX('Panel'!$AB$4,N(AN311),AK312),N(AN311))</f>
        <v>21371.061500000033</v>
      </c>
      <c r="AO312">
        <f>IF(AI312=1,AN312-AK312,0)</f>
        <v>0</v>
      </c>
      <c r="AP312">
        <f>IF(AND(AI312=1,AN312&gt;0),AO312/AN312,0)</f>
        <v>0</v>
      </c>
      <c r="AQ312" t="str">
        <f>IF(AI312=1,SUM($AI$5:AI312),"")</f>
        <v/>
      </c>
      <c r="AR312" t="str">
        <f>IF(AI312=1,IF(COUNTIFS($D$5:D312,D312,$AI$5:AI312,1)=1,SUMIFS($AJ$5:$AJ$504,$D$5:$D$504,D312),""),"")</f>
        <v/>
      </c>
      <c r="AS312" t="str">
        <f>IF(AG312=1,WEEKDAY(D312,2),"")</f>
        <v/>
      </c>
      <c r="AT312" s="31" t="str">
        <f>IF(AG312=1,DATE(YEAR(D312),MONTH(D312),1),"")</f>
        <v/>
      </c>
      <c r="AU312">
        <f>IF(AG312=0,0,IF(AND(OR('Prop challenge'!$D$7="",F312='Prop challenge'!$D$7),OR('Prop challenge'!$D$9="",D312&gt;='Prop challenge'!$D$9)),1,0))</f>
        <v>0</v>
      </c>
      <c r="AV312">
        <f>IF(AU312=1,IF(COUNTIFS($D$5:D312,D312,$AU$5:AU312,1)=1,1,0),0)</f>
        <v>0</v>
      </c>
      <c r="AW312" t="str">
        <f>IF(AV312=1,SUM($AV$5:AV312),"")</f>
        <v/>
      </c>
      <c r="AX312" t="str">
        <f>IF(AV312=1,SUMIFS($R$5:$R$504,$D$5:$D$504,D312,$AU$5:$AU$504,1),"")</f>
        <v/>
      </c>
    </row>
    <row r="313">
      <c r="A313" s="20" t="str">
        <f>IF(AG313=1,ROW()-4,"")</f>
        <v/>
      </c>
      <c r="B313" s="21" t="n"/>
      <c r="C313" s="22" t="n"/>
      <c r="D313" s="21" t="n"/>
      <c r="E313" s="22" t="n"/>
      <c r="F313" s="23" t="n"/>
      <c r="G313" s="23" t="n"/>
      <c r="H313" s="23" t="n"/>
      <c r="I313" s="24" t="n"/>
      <c r="J313" s="25" t="n"/>
      <c r="K313" s="25" t="n"/>
      <c r="L313" s="25" t="n"/>
      <c r="M313" s="25" t="n"/>
      <c r="N313" s="26" t="n"/>
      <c r="O313" s="26" t="n"/>
      <c r="P313" s="27" t="str">
        <f>IF(OR(J313="",K313="",I313="",AF313=0,AD313=""),"",(K313-J313)*AF313*I313*AD313*AE313)</f>
        <v/>
      </c>
      <c r="Q313" s="26" t="n"/>
      <c r="R313" s="28" t="str">
        <f>IF(Q313&lt;&gt;"",Q313,IF(P313="","",P313-N(N313)+N(O313)))</f>
        <v/>
      </c>
      <c r="S313" s="27" t="str">
        <f>IF(OR(L313="",J313="",I313="",AD313=""),"",ABS(J313-L313)*I313*AD313*AE313)</f>
        <v/>
      </c>
      <c r="T313" s="29" t="str">
        <f>IF(OR(R313="",S313="",S313=0),"",R313/S313)</f>
        <v/>
      </c>
      <c r="U313" s="20" t="str">
        <f>IF(R313="","",IF(R313&gt;0,"Ganadora",IF(R313&lt;0,"Perdedora","BE")))</f>
        <v/>
      </c>
      <c r="V313" s="23" t="n"/>
      <c r="W313" s="23" t="n"/>
      <c r="X313" s="23" t="n"/>
      <c r="Y313" s="23" t="n"/>
      <c r="Z313" s="23" t="n"/>
      <c r="AA313" s="23" t="n"/>
      <c r="AB313" s="30" t="n"/>
      <c r="AC313" s="1" t="n"/>
      <c r="AD313" s="1" t="str">
        <f>IF(G313="","",IFERROR(INDEX('Listas'!$N$6:$N$35,MATCH(G313,'Listas'!$M$6:$M$35,0)),""))</f>
        <v/>
      </c>
      <c r="AE313">
        <f>IF(G313="",1,IFERROR(INDEX('Listas'!$P$6:$P$35,MATCH(G313,'Listas'!$M$6:$M$35,0)),1))</f>
        <v>1</v>
      </c>
      <c r="AF313">
        <f>IF(H313="Compra",1,IF(H313="Venta",-1,0))</f>
        <v>0</v>
      </c>
      <c r="AG313">
        <f>IF(AND(D313&lt;&gt;"",ISNUMBER(R313)),1,0)</f>
        <v>0</v>
      </c>
      <c r="AH313">
        <f>IF(AG313=0,0,IF(OR('Panel'!$D$5="Todas las cuentas",'Panel'!$D$5="",F313='Panel'!$D$5),1,0))</f>
        <v>0</v>
      </c>
      <c r="AI313">
        <f>IF(AH313=0,0,IF(AND(OR('Panel'!$G$5="",D313&gt;='Panel'!$G$5),OR('Panel'!$J$5="",D313&lt;='Panel'!$J$5)),1,0))</f>
        <v>0</v>
      </c>
      <c r="AJ313">
        <f>IF(AI313=1,R313,0)</f>
        <v>0</v>
      </c>
      <c r="AK313" t="str">
        <f>IF(AI313=1,'Panel'!$AB$4+SUM($AJ$5:AJ313),"")</f>
        <v/>
      </c>
      <c r="AL313">
        <f>IF(AI313=0,N(AL312),IF(R313&lt;0,N(AL312)+1,0))</f>
        <v>1</v>
      </c>
      <c r="AM313">
        <f>IF(AI313=0,N(AM312),IF(R313&gt;0,N(AM312)+1,0))</f>
        <v>0</v>
      </c>
      <c r="AN313">
        <f>IF(AI313=1,MAX('Panel'!$AB$4,N(AN312),AK313),N(AN312))</f>
        <v>21371.061500000033</v>
      </c>
      <c r="AO313">
        <f>IF(AI313=1,AN313-AK313,0)</f>
        <v>0</v>
      </c>
      <c r="AP313">
        <f>IF(AND(AI313=1,AN313&gt;0),AO313/AN313,0)</f>
        <v>0</v>
      </c>
      <c r="AQ313" t="str">
        <f>IF(AI313=1,SUM($AI$5:AI313),"")</f>
        <v/>
      </c>
      <c r="AR313" t="str">
        <f>IF(AI313=1,IF(COUNTIFS($D$5:D313,D313,$AI$5:AI313,1)=1,SUMIFS($AJ$5:$AJ$504,$D$5:$D$504,D313),""),"")</f>
        <v/>
      </c>
      <c r="AS313" t="str">
        <f>IF(AG313=1,WEEKDAY(D313,2),"")</f>
        <v/>
      </c>
      <c r="AT313" s="31" t="str">
        <f>IF(AG313=1,DATE(YEAR(D313),MONTH(D313),1),"")</f>
        <v/>
      </c>
      <c r="AU313">
        <f>IF(AG313=0,0,IF(AND(OR('Prop challenge'!$D$7="",F313='Prop challenge'!$D$7),OR('Prop challenge'!$D$9="",D313&gt;='Prop challenge'!$D$9)),1,0))</f>
        <v>0</v>
      </c>
      <c r="AV313">
        <f>IF(AU313=1,IF(COUNTIFS($D$5:D313,D313,$AU$5:AU313,1)=1,1,0),0)</f>
        <v>0</v>
      </c>
      <c r="AW313" t="str">
        <f>IF(AV313=1,SUM($AV$5:AV313),"")</f>
        <v/>
      </c>
      <c r="AX313" t="str">
        <f>IF(AV313=1,SUMIFS($R$5:$R$504,$D$5:$D$504,D313,$AU$5:$AU$504,1),"")</f>
        <v/>
      </c>
    </row>
    <row r="314">
      <c r="A314" s="20" t="str">
        <f>IF(AG314=1,ROW()-4,"")</f>
        <v/>
      </c>
      <c r="B314" s="21" t="n"/>
      <c r="C314" s="22" t="n"/>
      <c r="D314" s="21" t="n"/>
      <c r="E314" s="22" t="n"/>
      <c r="F314" s="23" t="n"/>
      <c r="G314" s="23" t="n"/>
      <c r="H314" s="23" t="n"/>
      <c r="I314" s="24" t="n"/>
      <c r="J314" s="25" t="n"/>
      <c r="K314" s="25" t="n"/>
      <c r="L314" s="25" t="n"/>
      <c r="M314" s="25" t="n"/>
      <c r="N314" s="26" t="n"/>
      <c r="O314" s="26" t="n"/>
      <c r="P314" s="27" t="str">
        <f>IF(OR(J314="",K314="",I314="",AF314=0,AD314=""),"",(K314-J314)*AF314*I314*AD314*AE314)</f>
        <v/>
      </c>
      <c r="Q314" s="26" t="n"/>
      <c r="R314" s="28" t="str">
        <f>IF(Q314&lt;&gt;"",Q314,IF(P314="","",P314-N(N314)+N(O314)))</f>
        <v/>
      </c>
      <c r="S314" s="27" t="str">
        <f>IF(OR(L314="",J314="",I314="",AD314=""),"",ABS(J314-L314)*I314*AD314*AE314)</f>
        <v/>
      </c>
      <c r="T314" s="29" t="str">
        <f>IF(OR(R314="",S314="",S314=0),"",R314/S314)</f>
        <v/>
      </c>
      <c r="U314" s="20" t="str">
        <f>IF(R314="","",IF(R314&gt;0,"Ganadora",IF(R314&lt;0,"Perdedora","BE")))</f>
        <v/>
      </c>
      <c r="V314" s="23" t="n"/>
      <c r="W314" s="23" t="n"/>
      <c r="X314" s="23" t="n"/>
      <c r="Y314" s="23" t="n"/>
      <c r="Z314" s="23" t="n"/>
      <c r="AA314" s="23" t="n"/>
      <c r="AB314" s="30" t="n"/>
      <c r="AC314" s="1" t="n"/>
      <c r="AD314" s="1" t="str">
        <f>IF(G314="","",IFERROR(INDEX('Listas'!$N$6:$N$35,MATCH(G314,'Listas'!$M$6:$M$35,0)),""))</f>
        <v/>
      </c>
      <c r="AE314">
        <f>IF(G314="",1,IFERROR(INDEX('Listas'!$P$6:$P$35,MATCH(G314,'Listas'!$M$6:$M$35,0)),1))</f>
        <v>1</v>
      </c>
      <c r="AF314">
        <f>IF(H314="Compra",1,IF(H314="Venta",-1,0))</f>
        <v>0</v>
      </c>
      <c r="AG314">
        <f>IF(AND(D314&lt;&gt;"",ISNUMBER(R314)),1,0)</f>
        <v>0</v>
      </c>
      <c r="AH314">
        <f>IF(AG314=0,0,IF(OR('Panel'!$D$5="Todas las cuentas",'Panel'!$D$5="",F314='Panel'!$D$5),1,0))</f>
        <v>0</v>
      </c>
      <c r="AI314">
        <f>IF(AH314=0,0,IF(AND(OR('Panel'!$G$5="",D314&gt;='Panel'!$G$5),OR('Panel'!$J$5="",D314&lt;='Panel'!$J$5)),1,0))</f>
        <v>0</v>
      </c>
      <c r="AJ314">
        <f>IF(AI314=1,R314,0)</f>
        <v>0</v>
      </c>
      <c r="AK314" t="str">
        <f>IF(AI314=1,'Panel'!$AB$4+SUM($AJ$5:AJ314),"")</f>
        <v/>
      </c>
      <c r="AL314">
        <f>IF(AI314=0,N(AL313),IF(R314&lt;0,N(AL313)+1,0))</f>
        <v>1</v>
      </c>
      <c r="AM314">
        <f>IF(AI314=0,N(AM313),IF(R314&gt;0,N(AM313)+1,0))</f>
        <v>0</v>
      </c>
      <c r="AN314">
        <f>IF(AI314=1,MAX('Panel'!$AB$4,N(AN313),AK314),N(AN313))</f>
        <v>21371.061500000033</v>
      </c>
      <c r="AO314">
        <f>IF(AI314=1,AN314-AK314,0)</f>
        <v>0</v>
      </c>
      <c r="AP314">
        <f>IF(AND(AI314=1,AN314&gt;0),AO314/AN314,0)</f>
        <v>0</v>
      </c>
      <c r="AQ314" t="str">
        <f>IF(AI314=1,SUM($AI$5:AI314),"")</f>
        <v/>
      </c>
      <c r="AR314" t="str">
        <f>IF(AI314=1,IF(COUNTIFS($D$5:D314,D314,$AI$5:AI314,1)=1,SUMIFS($AJ$5:$AJ$504,$D$5:$D$504,D314),""),"")</f>
        <v/>
      </c>
      <c r="AS314" t="str">
        <f>IF(AG314=1,WEEKDAY(D314,2),"")</f>
        <v/>
      </c>
      <c r="AT314" s="31" t="str">
        <f>IF(AG314=1,DATE(YEAR(D314),MONTH(D314),1),"")</f>
        <v/>
      </c>
      <c r="AU314">
        <f>IF(AG314=0,0,IF(AND(OR('Prop challenge'!$D$7="",F314='Prop challenge'!$D$7),OR('Prop challenge'!$D$9="",D314&gt;='Prop challenge'!$D$9)),1,0))</f>
        <v>0</v>
      </c>
      <c r="AV314">
        <f>IF(AU314=1,IF(COUNTIFS($D$5:D314,D314,$AU$5:AU314,1)=1,1,0),0)</f>
        <v>0</v>
      </c>
      <c r="AW314" t="str">
        <f>IF(AV314=1,SUM($AV$5:AV314),"")</f>
        <v/>
      </c>
      <c r="AX314" t="str">
        <f>IF(AV314=1,SUMIFS($R$5:$R$504,$D$5:$D$504,D314,$AU$5:$AU$504,1),"")</f>
        <v/>
      </c>
    </row>
    <row r="315">
      <c r="A315" s="20" t="str">
        <f>IF(AG315=1,ROW()-4,"")</f>
        <v/>
      </c>
      <c r="B315" s="21" t="n"/>
      <c r="C315" s="22" t="n"/>
      <c r="D315" s="21" t="n"/>
      <c r="E315" s="22" t="n"/>
      <c r="F315" s="23" t="n"/>
      <c r="G315" s="23" t="n"/>
      <c r="H315" s="23" t="n"/>
      <c r="I315" s="24" t="n"/>
      <c r="J315" s="25" t="n"/>
      <c r="K315" s="25" t="n"/>
      <c r="L315" s="25" t="n"/>
      <c r="M315" s="25" t="n"/>
      <c r="N315" s="26" t="n"/>
      <c r="O315" s="26" t="n"/>
      <c r="P315" s="27" t="str">
        <f>IF(OR(J315="",K315="",I315="",AF315=0,AD315=""),"",(K315-J315)*AF315*I315*AD315*AE315)</f>
        <v/>
      </c>
      <c r="Q315" s="26" t="n"/>
      <c r="R315" s="28" t="str">
        <f>IF(Q315&lt;&gt;"",Q315,IF(P315="","",P315-N(N315)+N(O315)))</f>
        <v/>
      </c>
      <c r="S315" s="27" t="str">
        <f>IF(OR(L315="",J315="",I315="",AD315=""),"",ABS(J315-L315)*I315*AD315*AE315)</f>
        <v/>
      </c>
      <c r="T315" s="29" t="str">
        <f>IF(OR(R315="",S315="",S315=0),"",R315/S315)</f>
        <v/>
      </c>
      <c r="U315" s="20" t="str">
        <f>IF(R315="","",IF(R315&gt;0,"Ganadora",IF(R315&lt;0,"Perdedora","BE")))</f>
        <v/>
      </c>
      <c r="V315" s="23" t="n"/>
      <c r="W315" s="23" t="n"/>
      <c r="X315" s="23" t="n"/>
      <c r="Y315" s="23" t="n"/>
      <c r="Z315" s="23" t="n"/>
      <c r="AA315" s="23" t="n"/>
      <c r="AB315" s="30" t="n"/>
      <c r="AC315" s="1" t="n"/>
      <c r="AD315" s="1" t="str">
        <f>IF(G315="","",IFERROR(INDEX('Listas'!$N$6:$N$35,MATCH(G315,'Listas'!$M$6:$M$35,0)),""))</f>
        <v/>
      </c>
      <c r="AE315">
        <f>IF(G315="",1,IFERROR(INDEX('Listas'!$P$6:$P$35,MATCH(G315,'Listas'!$M$6:$M$35,0)),1))</f>
        <v>1</v>
      </c>
      <c r="AF315">
        <f>IF(H315="Compra",1,IF(H315="Venta",-1,0))</f>
        <v>0</v>
      </c>
      <c r="AG315">
        <f>IF(AND(D315&lt;&gt;"",ISNUMBER(R315)),1,0)</f>
        <v>0</v>
      </c>
      <c r="AH315">
        <f>IF(AG315=0,0,IF(OR('Panel'!$D$5="Todas las cuentas",'Panel'!$D$5="",F315='Panel'!$D$5),1,0))</f>
        <v>0</v>
      </c>
      <c r="AI315">
        <f>IF(AH315=0,0,IF(AND(OR('Panel'!$G$5="",D315&gt;='Panel'!$G$5),OR('Panel'!$J$5="",D315&lt;='Panel'!$J$5)),1,0))</f>
        <v>0</v>
      </c>
      <c r="AJ315">
        <f>IF(AI315=1,R315,0)</f>
        <v>0</v>
      </c>
      <c r="AK315" t="str">
        <f>IF(AI315=1,'Panel'!$AB$4+SUM($AJ$5:AJ315),"")</f>
        <v/>
      </c>
      <c r="AL315">
        <f>IF(AI315=0,N(AL314),IF(R315&lt;0,N(AL314)+1,0))</f>
        <v>1</v>
      </c>
      <c r="AM315">
        <f>IF(AI315=0,N(AM314),IF(R315&gt;0,N(AM314)+1,0))</f>
        <v>0</v>
      </c>
      <c r="AN315">
        <f>IF(AI315=1,MAX('Panel'!$AB$4,N(AN314),AK315),N(AN314))</f>
        <v>21371.061500000033</v>
      </c>
      <c r="AO315">
        <f>IF(AI315=1,AN315-AK315,0)</f>
        <v>0</v>
      </c>
      <c r="AP315">
        <f>IF(AND(AI315=1,AN315&gt;0),AO315/AN315,0)</f>
        <v>0</v>
      </c>
      <c r="AQ315" t="str">
        <f>IF(AI315=1,SUM($AI$5:AI315),"")</f>
        <v/>
      </c>
      <c r="AR315" t="str">
        <f>IF(AI315=1,IF(COUNTIFS($D$5:D315,D315,$AI$5:AI315,1)=1,SUMIFS($AJ$5:$AJ$504,$D$5:$D$504,D315),""),"")</f>
        <v/>
      </c>
      <c r="AS315" t="str">
        <f>IF(AG315=1,WEEKDAY(D315,2),"")</f>
        <v/>
      </c>
      <c r="AT315" s="31" t="str">
        <f>IF(AG315=1,DATE(YEAR(D315),MONTH(D315),1),"")</f>
        <v/>
      </c>
      <c r="AU315">
        <f>IF(AG315=0,0,IF(AND(OR('Prop challenge'!$D$7="",F315='Prop challenge'!$D$7),OR('Prop challenge'!$D$9="",D315&gt;='Prop challenge'!$D$9)),1,0))</f>
        <v>0</v>
      </c>
      <c r="AV315">
        <f>IF(AU315=1,IF(COUNTIFS($D$5:D315,D315,$AU$5:AU315,1)=1,1,0),0)</f>
        <v>0</v>
      </c>
      <c r="AW315" t="str">
        <f>IF(AV315=1,SUM($AV$5:AV315),"")</f>
        <v/>
      </c>
      <c r="AX315" t="str">
        <f>IF(AV315=1,SUMIFS($R$5:$R$504,$D$5:$D$504,D315,$AU$5:$AU$504,1),"")</f>
        <v/>
      </c>
    </row>
    <row r="316">
      <c r="A316" s="20" t="str">
        <f>IF(AG316=1,ROW()-4,"")</f>
        <v/>
      </c>
      <c r="B316" s="21" t="n"/>
      <c r="C316" s="22" t="n"/>
      <c r="D316" s="21" t="n"/>
      <c r="E316" s="22" t="n"/>
      <c r="F316" s="23" t="n"/>
      <c r="G316" s="23" t="n"/>
      <c r="H316" s="23" t="n"/>
      <c r="I316" s="24" t="n"/>
      <c r="J316" s="25" t="n"/>
      <c r="K316" s="25" t="n"/>
      <c r="L316" s="25" t="n"/>
      <c r="M316" s="25" t="n"/>
      <c r="N316" s="26" t="n"/>
      <c r="O316" s="26" t="n"/>
      <c r="P316" s="27" t="str">
        <f>IF(OR(J316="",K316="",I316="",AF316=0,AD316=""),"",(K316-J316)*AF316*I316*AD316*AE316)</f>
        <v/>
      </c>
      <c r="Q316" s="26" t="n"/>
      <c r="R316" s="28" t="str">
        <f>IF(Q316&lt;&gt;"",Q316,IF(P316="","",P316-N(N316)+N(O316)))</f>
        <v/>
      </c>
      <c r="S316" s="27" t="str">
        <f>IF(OR(L316="",J316="",I316="",AD316=""),"",ABS(J316-L316)*I316*AD316*AE316)</f>
        <v/>
      </c>
      <c r="T316" s="29" t="str">
        <f>IF(OR(R316="",S316="",S316=0),"",R316/S316)</f>
        <v/>
      </c>
      <c r="U316" s="20" t="str">
        <f>IF(R316="","",IF(R316&gt;0,"Ganadora",IF(R316&lt;0,"Perdedora","BE")))</f>
        <v/>
      </c>
      <c r="V316" s="23" t="n"/>
      <c r="W316" s="23" t="n"/>
      <c r="X316" s="23" t="n"/>
      <c r="Y316" s="23" t="n"/>
      <c r="Z316" s="23" t="n"/>
      <c r="AA316" s="23" t="n"/>
      <c r="AB316" s="30" t="n"/>
      <c r="AC316" s="1" t="n"/>
      <c r="AD316" s="1" t="str">
        <f>IF(G316="","",IFERROR(INDEX('Listas'!$N$6:$N$35,MATCH(G316,'Listas'!$M$6:$M$35,0)),""))</f>
        <v/>
      </c>
      <c r="AE316">
        <f>IF(G316="",1,IFERROR(INDEX('Listas'!$P$6:$P$35,MATCH(G316,'Listas'!$M$6:$M$35,0)),1))</f>
        <v>1</v>
      </c>
      <c r="AF316">
        <f>IF(H316="Compra",1,IF(H316="Venta",-1,0))</f>
        <v>0</v>
      </c>
      <c r="AG316">
        <f>IF(AND(D316&lt;&gt;"",ISNUMBER(R316)),1,0)</f>
        <v>0</v>
      </c>
      <c r="AH316">
        <f>IF(AG316=0,0,IF(OR('Panel'!$D$5="Todas las cuentas",'Panel'!$D$5="",F316='Panel'!$D$5),1,0))</f>
        <v>0</v>
      </c>
      <c r="AI316">
        <f>IF(AH316=0,0,IF(AND(OR('Panel'!$G$5="",D316&gt;='Panel'!$G$5),OR('Panel'!$J$5="",D316&lt;='Panel'!$J$5)),1,0))</f>
        <v>0</v>
      </c>
      <c r="AJ316">
        <f>IF(AI316=1,R316,0)</f>
        <v>0</v>
      </c>
      <c r="AK316" t="str">
        <f>IF(AI316=1,'Panel'!$AB$4+SUM($AJ$5:AJ316),"")</f>
        <v/>
      </c>
      <c r="AL316">
        <f>IF(AI316=0,N(AL315),IF(R316&lt;0,N(AL315)+1,0))</f>
        <v>1</v>
      </c>
      <c r="AM316">
        <f>IF(AI316=0,N(AM315),IF(R316&gt;0,N(AM315)+1,0))</f>
        <v>0</v>
      </c>
      <c r="AN316">
        <f>IF(AI316=1,MAX('Panel'!$AB$4,N(AN315),AK316),N(AN315))</f>
        <v>21371.061500000033</v>
      </c>
      <c r="AO316">
        <f>IF(AI316=1,AN316-AK316,0)</f>
        <v>0</v>
      </c>
      <c r="AP316">
        <f>IF(AND(AI316=1,AN316&gt;0),AO316/AN316,0)</f>
        <v>0</v>
      </c>
      <c r="AQ316" t="str">
        <f>IF(AI316=1,SUM($AI$5:AI316),"")</f>
        <v/>
      </c>
      <c r="AR316" t="str">
        <f>IF(AI316=1,IF(COUNTIFS($D$5:D316,D316,$AI$5:AI316,1)=1,SUMIFS($AJ$5:$AJ$504,$D$5:$D$504,D316),""),"")</f>
        <v/>
      </c>
      <c r="AS316" t="str">
        <f>IF(AG316=1,WEEKDAY(D316,2),"")</f>
        <v/>
      </c>
      <c r="AT316" s="31" t="str">
        <f>IF(AG316=1,DATE(YEAR(D316),MONTH(D316),1),"")</f>
        <v/>
      </c>
      <c r="AU316">
        <f>IF(AG316=0,0,IF(AND(OR('Prop challenge'!$D$7="",F316='Prop challenge'!$D$7),OR('Prop challenge'!$D$9="",D316&gt;='Prop challenge'!$D$9)),1,0))</f>
        <v>0</v>
      </c>
      <c r="AV316">
        <f>IF(AU316=1,IF(COUNTIFS($D$5:D316,D316,$AU$5:AU316,1)=1,1,0),0)</f>
        <v>0</v>
      </c>
      <c r="AW316" t="str">
        <f>IF(AV316=1,SUM($AV$5:AV316),"")</f>
        <v/>
      </c>
      <c r="AX316" t="str">
        <f>IF(AV316=1,SUMIFS($R$5:$R$504,$D$5:$D$504,D316,$AU$5:$AU$504,1),"")</f>
        <v/>
      </c>
    </row>
    <row r="317">
      <c r="A317" s="20" t="str">
        <f>IF(AG317=1,ROW()-4,"")</f>
        <v/>
      </c>
      <c r="B317" s="21" t="n"/>
      <c r="C317" s="22" t="n"/>
      <c r="D317" s="21" t="n"/>
      <c r="E317" s="22" t="n"/>
      <c r="F317" s="23" t="n"/>
      <c r="G317" s="23" t="n"/>
      <c r="H317" s="23" t="n"/>
      <c r="I317" s="24" t="n"/>
      <c r="J317" s="25" t="n"/>
      <c r="K317" s="25" t="n"/>
      <c r="L317" s="25" t="n"/>
      <c r="M317" s="25" t="n"/>
      <c r="N317" s="26" t="n"/>
      <c r="O317" s="26" t="n"/>
      <c r="P317" s="27" t="str">
        <f>IF(OR(J317="",K317="",I317="",AF317=0,AD317=""),"",(K317-J317)*AF317*I317*AD317*AE317)</f>
        <v/>
      </c>
      <c r="Q317" s="26" t="n"/>
      <c r="R317" s="28" t="str">
        <f>IF(Q317&lt;&gt;"",Q317,IF(P317="","",P317-N(N317)+N(O317)))</f>
        <v/>
      </c>
      <c r="S317" s="27" t="str">
        <f>IF(OR(L317="",J317="",I317="",AD317=""),"",ABS(J317-L317)*I317*AD317*AE317)</f>
        <v/>
      </c>
      <c r="T317" s="29" t="str">
        <f>IF(OR(R317="",S317="",S317=0),"",R317/S317)</f>
        <v/>
      </c>
      <c r="U317" s="20" t="str">
        <f>IF(R317="","",IF(R317&gt;0,"Ganadora",IF(R317&lt;0,"Perdedora","BE")))</f>
        <v/>
      </c>
      <c r="V317" s="23" t="n"/>
      <c r="W317" s="23" t="n"/>
      <c r="X317" s="23" t="n"/>
      <c r="Y317" s="23" t="n"/>
      <c r="Z317" s="23" t="n"/>
      <c r="AA317" s="23" t="n"/>
      <c r="AB317" s="30" t="n"/>
      <c r="AC317" s="1" t="n"/>
      <c r="AD317" s="1" t="str">
        <f>IF(G317="","",IFERROR(INDEX('Listas'!$N$6:$N$35,MATCH(G317,'Listas'!$M$6:$M$35,0)),""))</f>
        <v/>
      </c>
      <c r="AE317">
        <f>IF(G317="",1,IFERROR(INDEX('Listas'!$P$6:$P$35,MATCH(G317,'Listas'!$M$6:$M$35,0)),1))</f>
        <v>1</v>
      </c>
      <c r="AF317">
        <f>IF(H317="Compra",1,IF(H317="Venta",-1,0))</f>
        <v>0</v>
      </c>
      <c r="AG317">
        <f>IF(AND(D317&lt;&gt;"",ISNUMBER(R317)),1,0)</f>
        <v>0</v>
      </c>
      <c r="AH317">
        <f>IF(AG317=0,0,IF(OR('Panel'!$D$5="Todas las cuentas",'Panel'!$D$5="",F317='Panel'!$D$5),1,0))</f>
        <v>0</v>
      </c>
      <c r="AI317">
        <f>IF(AH317=0,0,IF(AND(OR('Panel'!$G$5="",D317&gt;='Panel'!$G$5),OR('Panel'!$J$5="",D317&lt;='Panel'!$J$5)),1,0))</f>
        <v>0</v>
      </c>
      <c r="AJ317">
        <f>IF(AI317=1,R317,0)</f>
        <v>0</v>
      </c>
      <c r="AK317" t="str">
        <f>IF(AI317=1,'Panel'!$AB$4+SUM($AJ$5:AJ317),"")</f>
        <v/>
      </c>
      <c r="AL317">
        <f>IF(AI317=0,N(AL316),IF(R317&lt;0,N(AL316)+1,0))</f>
        <v>1</v>
      </c>
      <c r="AM317">
        <f>IF(AI317=0,N(AM316),IF(R317&gt;0,N(AM316)+1,0))</f>
        <v>0</v>
      </c>
      <c r="AN317">
        <f>IF(AI317=1,MAX('Panel'!$AB$4,N(AN316),AK317),N(AN316))</f>
        <v>21371.061500000033</v>
      </c>
      <c r="AO317">
        <f>IF(AI317=1,AN317-AK317,0)</f>
        <v>0</v>
      </c>
      <c r="AP317">
        <f>IF(AND(AI317=1,AN317&gt;0),AO317/AN317,0)</f>
        <v>0</v>
      </c>
      <c r="AQ317" t="str">
        <f>IF(AI317=1,SUM($AI$5:AI317),"")</f>
        <v/>
      </c>
      <c r="AR317" t="str">
        <f>IF(AI317=1,IF(COUNTIFS($D$5:D317,D317,$AI$5:AI317,1)=1,SUMIFS($AJ$5:$AJ$504,$D$5:$D$504,D317),""),"")</f>
        <v/>
      </c>
      <c r="AS317" t="str">
        <f>IF(AG317=1,WEEKDAY(D317,2),"")</f>
        <v/>
      </c>
      <c r="AT317" s="31" t="str">
        <f>IF(AG317=1,DATE(YEAR(D317),MONTH(D317),1),"")</f>
        <v/>
      </c>
      <c r="AU317">
        <f>IF(AG317=0,0,IF(AND(OR('Prop challenge'!$D$7="",F317='Prop challenge'!$D$7),OR('Prop challenge'!$D$9="",D317&gt;='Prop challenge'!$D$9)),1,0))</f>
        <v>0</v>
      </c>
      <c r="AV317">
        <f>IF(AU317=1,IF(COUNTIFS($D$5:D317,D317,$AU$5:AU317,1)=1,1,0),0)</f>
        <v>0</v>
      </c>
      <c r="AW317" t="str">
        <f>IF(AV317=1,SUM($AV$5:AV317),"")</f>
        <v/>
      </c>
      <c r="AX317" t="str">
        <f>IF(AV317=1,SUMIFS($R$5:$R$504,$D$5:$D$504,D317,$AU$5:$AU$504,1),"")</f>
        <v/>
      </c>
    </row>
    <row r="318">
      <c r="A318" s="20" t="str">
        <f>IF(AG318=1,ROW()-4,"")</f>
        <v/>
      </c>
      <c r="B318" s="21" t="n"/>
      <c r="C318" s="22" t="n"/>
      <c r="D318" s="21" t="n"/>
      <c r="E318" s="22" t="n"/>
      <c r="F318" s="23" t="n"/>
      <c r="G318" s="23" t="n"/>
      <c r="H318" s="23" t="n"/>
      <c r="I318" s="24" t="n"/>
      <c r="J318" s="25" t="n"/>
      <c r="K318" s="25" t="n"/>
      <c r="L318" s="25" t="n"/>
      <c r="M318" s="25" t="n"/>
      <c r="N318" s="26" t="n"/>
      <c r="O318" s="26" t="n"/>
      <c r="P318" s="27" t="str">
        <f>IF(OR(J318="",K318="",I318="",AF318=0,AD318=""),"",(K318-J318)*AF318*I318*AD318*AE318)</f>
        <v/>
      </c>
      <c r="Q318" s="26" t="n"/>
      <c r="R318" s="28" t="str">
        <f>IF(Q318&lt;&gt;"",Q318,IF(P318="","",P318-N(N318)+N(O318)))</f>
        <v/>
      </c>
      <c r="S318" s="27" t="str">
        <f>IF(OR(L318="",J318="",I318="",AD318=""),"",ABS(J318-L318)*I318*AD318*AE318)</f>
        <v/>
      </c>
      <c r="T318" s="29" t="str">
        <f>IF(OR(R318="",S318="",S318=0),"",R318/S318)</f>
        <v/>
      </c>
      <c r="U318" s="20" t="str">
        <f>IF(R318="","",IF(R318&gt;0,"Ganadora",IF(R318&lt;0,"Perdedora","BE")))</f>
        <v/>
      </c>
      <c r="V318" s="23" t="n"/>
      <c r="W318" s="23" t="n"/>
      <c r="X318" s="23" t="n"/>
      <c r="Y318" s="23" t="n"/>
      <c r="Z318" s="23" t="n"/>
      <c r="AA318" s="23" t="n"/>
      <c r="AB318" s="30" t="n"/>
      <c r="AC318" s="1" t="n"/>
      <c r="AD318" s="1" t="str">
        <f>IF(G318="","",IFERROR(INDEX('Listas'!$N$6:$N$35,MATCH(G318,'Listas'!$M$6:$M$35,0)),""))</f>
        <v/>
      </c>
      <c r="AE318">
        <f>IF(G318="",1,IFERROR(INDEX('Listas'!$P$6:$P$35,MATCH(G318,'Listas'!$M$6:$M$35,0)),1))</f>
        <v>1</v>
      </c>
      <c r="AF318">
        <f>IF(H318="Compra",1,IF(H318="Venta",-1,0))</f>
        <v>0</v>
      </c>
      <c r="AG318">
        <f>IF(AND(D318&lt;&gt;"",ISNUMBER(R318)),1,0)</f>
        <v>0</v>
      </c>
      <c r="AH318">
        <f>IF(AG318=0,0,IF(OR('Panel'!$D$5="Todas las cuentas",'Panel'!$D$5="",F318='Panel'!$D$5),1,0))</f>
        <v>0</v>
      </c>
      <c r="AI318">
        <f>IF(AH318=0,0,IF(AND(OR('Panel'!$G$5="",D318&gt;='Panel'!$G$5),OR('Panel'!$J$5="",D318&lt;='Panel'!$J$5)),1,0))</f>
        <v>0</v>
      </c>
      <c r="AJ318">
        <f>IF(AI318=1,R318,0)</f>
        <v>0</v>
      </c>
      <c r="AK318" t="str">
        <f>IF(AI318=1,'Panel'!$AB$4+SUM($AJ$5:AJ318),"")</f>
        <v/>
      </c>
      <c r="AL318">
        <f>IF(AI318=0,N(AL317),IF(R318&lt;0,N(AL317)+1,0))</f>
        <v>1</v>
      </c>
      <c r="AM318">
        <f>IF(AI318=0,N(AM317),IF(R318&gt;0,N(AM317)+1,0))</f>
        <v>0</v>
      </c>
      <c r="AN318">
        <f>IF(AI318=1,MAX('Panel'!$AB$4,N(AN317),AK318),N(AN317))</f>
        <v>21371.061500000033</v>
      </c>
      <c r="AO318">
        <f>IF(AI318=1,AN318-AK318,0)</f>
        <v>0</v>
      </c>
      <c r="AP318">
        <f>IF(AND(AI318=1,AN318&gt;0),AO318/AN318,0)</f>
        <v>0</v>
      </c>
      <c r="AQ318" t="str">
        <f>IF(AI318=1,SUM($AI$5:AI318),"")</f>
        <v/>
      </c>
      <c r="AR318" t="str">
        <f>IF(AI318=1,IF(COUNTIFS($D$5:D318,D318,$AI$5:AI318,1)=1,SUMIFS($AJ$5:$AJ$504,$D$5:$D$504,D318),""),"")</f>
        <v/>
      </c>
      <c r="AS318" t="str">
        <f>IF(AG318=1,WEEKDAY(D318,2),"")</f>
        <v/>
      </c>
      <c r="AT318" s="31" t="str">
        <f>IF(AG318=1,DATE(YEAR(D318),MONTH(D318),1),"")</f>
        <v/>
      </c>
      <c r="AU318">
        <f>IF(AG318=0,0,IF(AND(OR('Prop challenge'!$D$7="",F318='Prop challenge'!$D$7),OR('Prop challenge'!$D$9="",D318&gt;='Prop challenge'!$D$9)),1,0))</f>
        <v>0</v>
      </c>
      <c r="AV318">
        <f>IF(AU318=1,IF(COUNTIFS($D$5:D318,D318,$AU$5:AU318,1)=1,1,0),0)</f>
        <v>0</v>
      </c>
      <c r="AW318" t="str">
        <f>IF(AV318=1,SUM($AV$5:AV318),"")</f>
        <v/>
      </c>
      <c r="AX318" t="str">
        <f>IF(AV318=1,SUMIFS($R$5:$R$504,$D$5:$D$504,D318,$AU$5:$AU$504,1),"")</f>
        <v/>
      </c>
    </row>
    <row r="319">
      <c r="A319" s="20" t="str">
        <f>IF(AG319=1,ROW()-4,"")</f>
        <v/>
      </c>
      <c r="B319" s="21" t="n"/>
      <c r="C319" s="22" t="n"/>
      <c r="D319" s="21" t="n"/>
      <c r="E319" s="22" t="n"/>
      <c r="F319" s="23" t="n"/>
      <c r="G319" s="23" t="n"/>
      <c r="H319" s="23" t="n"/>
      <c r="I319" s="24" t="n"/>
      <c r="J319" s="25" t="n"/>
      <c r="K319" s="25" t="n"/>
      <c r="L319" s="25" t="n"/>
      <c r="M319" s="25" t="n"/>
      <c r="N319" s="26" t="n"/>
      <c r="O319" s="26" t="n"/>
      <c r="P319" s="27" t="str">
        <f>IF(OR(J319="",K319="",I319="",AF319=0,AD319=""),"",(K319-J319)*AF319*I319*AD319*AE319)</f>
        <v/>
      </c>
      <c r="Q319" s="26" t="n"/>
      <c r="R319" s="28" t="str">
        <f>IF(Q319&lt;&gt;"",Q319,IF(P319="","",P319-N(N319)+N(O319)))</f>
        <v/>
      </c>
      <c r="S319" s="27" t="str">
        <f>IF(OR(L319="",J319="",I319="",AD319=""),"",ABS(J319-L319)*I319*AD319*AE319)</f>
        <v/>
      </c>
      <c r="T319" s="29" t="str">
        <f>IF(OR(R319="",S319="",S319=0),"",R319/S319)</f>
        <v/>
      </c>
      <c r="U319" s="20" t="str">
        <f>IF(R319="","",IF(R319&gt;0,"Ganadora",IF(R319&lt;0,"Perdedora","BE")))</f>
        <v/>
      </c>
      <c r="V319" s="23" t="n"/>
      <c r="W319" s="23" t="n"/>
      <c r="X319" s="23" t="n"/>
      <c r="Y319" s="23" t="n"/>
      <c r="Z319" s="23" t="n"/>
      <c r="AA319" s="23" t="n"/>
      <c r="AB319" s="30" t="n"/>
      <c r="AC319" s="1" t="n"/>
      <c r="AD319" s="1" t="str">
        <f>IF(G319="","",IFERROR(INDEX('Listas'!$N$6:$N$35,MATCH(G319,'Listas'!$M$6:$M$35,0)),""))</f>
        <v/>
      </c>
      <c r="AE319">
        <f>IF(G319="",1,IFERROR(INDEX('Listas'!$P$6:$P$35,MATCH(G319,'Listas'!$M$6:$M$35,0)),1))</f>
        <v>1</v>
      </c>
      <c r="AF319">
        <f>IF(H319="Compra",1,IF(H319="Venta",-1,0))</f>
        <v>0</v>
      </c>
      <c r="AG319">
        <f>IF(AND(D319&lt;&gt;"",ISNUMBER(R319)),1,0)</f>
        <v>0</v>
      </c>
      <c r="AH319">
        <f>IF(AG319=0,0,IF(OR('Panel'!$D$5="Todas las cuentas",'Panel'!$D$5="",F319='Panel'!$D$5),1,0))</f>
        <v>0</v>
      </c>
      <c r="AI319">
        <f>IF(AH319=0,0,IF(AND(OR('Panel'!$G$5="",D319&gt;='Panel'!$G$5),OR('Panel'!$J$5="",D319&lt;='Panel'!$J$5)),1,0))</f>
        <v>0</v>
      </c>
      <c r="AJ319">
        <f>IF(AI319=1,R319,0)</f>
        <v>0</v>
      </c>
      <c r="AK319" t="str">
        <f>IF(AI319=1,'Panel'!$AB$4+SUM($AJ$5:AJ319),"")</f>
        <v/>
      </c>
      <c r="AL319">
        <f>IF(AI319=0,N(AL318),IF(R319&lt;0,N(AL318)+1,0))</f>
        <v>1</v>
      </c>
      <c r="AM319">
        <f>IF(AI319=0,N(AM318),IF(R319&gt;0,N(AM318)+1,0))</f>
        <v>0</v>
      </c>
      <c r="AN319">
        <f>IF(AI319=1,MAX('Panel'!$AB$4,N(AN318),AK319),N(AN318))</f>
        <v>21371.061500000033</v>
      </c>
      <c r="AO319">
        <f>IF(AI319=1,AN319-AK319,0)</f>
        <v>0</v>
      </c>
      <c r="AP319">
        <f>IF(AND(AI319=1,AN319&gt;0),AO319/AN319,0)</f>
        <v>0</v>
      </c>
      <c r="AQ319" t="str">
        <f>IF(AI319=1,SUM($AI$5:AI319),"")</f>
        <v/>
      </c>
      <c r="AR319" t="str">
        <f>IF(AI319=1,IF(COUNTIFS($D$5:D319,D319,$AI$5:AI319,1)=1,SUMIFS($AJ$5:$AJ$504,$D$5:$D$504,D319),""),"")</f>
        <v/>
      </c>
      <c r="AS319" t="str">
        <f>IF(AG319=1,WEEKDAY(D319,2),"")</f>
        <v/>
      </c>
      <c r="AT319" s="31" t="str">
        <f>IF(AG319=1,DATE(YEAR(D319),MONTH(D319),1),"")</f>
        <v/>
      </c>
      <c r="AU319">
        <f>IF(AG319=0,0,IF(AND(OR('Prop challenge'!$D$7="",F319='Prop challenge'!$D$7),OR('Prop challenge'!$D$9="",D319&gt;='Prop challenge'!$D$9)),1,0))</f>
        <v>0</v>
      </c>
      <c r="AV319">
        <f>IF(AU319=1,IF(COUNTIFS($D$5:D319,D319,$AU$5:AU319,1)=1,1,0),0)</f>
        <v>0</v>
      </c>
      <c r="AW319" t="str">
        <f>IF(AV319=1,SUM($AV$5:AV319),"")</f>
        <v/>
      </c>
      <c r="AX319" t="str">
        <f>IF(AV319=1,SUMIFS($R$5:$R$504,$D$5:$D$504,D319,$AU$5:$AU$504,1),"")</f>
        <v/>
      </c>
    </row>
    <row r="320">
      <c r="A320" s="20" t="str">
        <f>IF(AG320=1,ROW()-4,"")</f>
        <v/>
      </c>
      <c r="B320" s="21" t="n"/>
      <c r="C320" s="22" t="n"/>
      <c r="D320" s="21" t="n"/>
      <c r="E320" s="22" t="n"/>
      <c r="F320" s="23" t="n"/>
      <c r="G320" s="23" t="n"/>
      <c r="H320" s="23" t="n"/>
      <c r="I320" s="24" t="n"/>
      <c r="J320" s="25" t="n"/>
      <c r="K320" s="25" t="n"/>
      <c r="L320" s="25" t="n"/>
      <c r="M320" s="25" t="n"/>
      <c r="N320" s="26" t="n"/>
      <c r="O320" s="26" t="n"/>
      <c r="P320" s="27" t="str">
        <f>IF(OR(J320="",K320="",I320="",AF320=0,AD320=""),"",(K320-J320)*AF320*I320*AD320*AE320)</f>
        <v/>
      </c>
      <c r="Q320" s="26" t="n"/>
      <c r="R320" s="28" t="str">
        <f>IF(Q320&lt;&gt;"",Q320,IF(P320="","",P320-N(N320)+N(O320)))</f>
        <v/>
      </c>
      <c r="S320" s="27" t="str">
        <f>IF(OR(L320="",J320="",I320="",AD320=""),"",ABS(J320-L320)*I320*AD320*AE320)</f>
        <v/>
      </c>
      <c r="T320" s="29" t="str">
        <f>IF(OR(R320="",S320="",S320=0),"",R320/S320)</f>
        <v/>
      </c>
      <c r="U320" s="20" t="str">
        <f>IF(R320="","",IF(R320&gt;0,"Ganadora",IF(R320&lt;0,"Perdedora","BE")))</f>
        <v/>
      </c>
      <c r="V320" s="23" t="n"/>
      <c r="W320" s="23" t="n"/>
      <c r="X320" s="23" t="n"/>
      <c r="Y320" s="23" t="n"/>
      <c r="Z320" s="23" t="n"/>
      <c r="AA320" s="23" t="n"/>
      <c r="AB320" s="30" t="n"/>
      <c r="AC320" s="1" t="n"/>
      <c r="AD320" s="1" t="str">
        <f>IF(G320="","",IFERROR(INDEX('Listas'!$N$6:$N$35,MATCH(G320,'Listas'!$M$6:$M$35,0)),""))</f>
        <v/>
      </c>
      <c r="AE320">
        <f>IF(G320="",1,IFERROR(INDEX('Listas'!$P$6:$P$35,MATCH(G320,'Listas'!$M$6:$M$35,0)),1))</f>
        <v>1</v>
      </c>
      <c r="AF320">
        <f>IF(H320="Compra",1,IF(H320="Venta",-1,0))</f>
        <v>0</v>
      </c>
      <c r="AG320">
        <f>IF(AND(D320&lt;&gt;"",ISNUMBER(R320)),1,0)</f>
        <v>0</v>
      </c>
      <c r="AH320">
        <f>IF(AG320=0,0,IF(OR('Panel'!$D$5="Todas las cuentas",'Panel'!$D$5="",F320='Panel'!$D$5),1,0))</f>
        <v>0</v>
      </c>
      <c r="AI320">
        <f>IF(AH320=0,0,IF(AND(OR('Panel'!$G$5="",D320&gt;='Panel'!$G$5),OR('Panel'!$J$5="",D320&lt;='Panel'!$J$5)),1,0))</f>
        <v>0</v>
      </c>
      <c r="AJ320">
        <f>IF(AI320=1,R320,0)</f>
        <v>0</v>
      </c>
      <c r="AK320" t="str">
        <f>IF(AI320=1,'Panel'!$AB$4+SUM($AJ$5:AJ320),"")</f>
        <v/>
      </c>
      <c r="AL320">
        <f>IF(AI320=0,N(AL319),IF(R320&lt;0,N(AL319)+1,0))</f>
        <v>1</v>
      </c>
      <c r="AM320">
        <f>IF(AI320=0,N(AM319),IF(R320&gt;0,N(AM319)+1,0))</f>
        <v>0</v>
      </c>
      <c r="AN320">
        <f>IF(AI320=1,MAX('Panel'!$AB$4,N(AN319),AK320),N(AN319))</f>
        <v>21371.061500000033</v>
      </c>
      <c r="AO320">
        <f>IF(AI320=1,AN320-AK320,0)</f>
        <v>0</v>
      </c>
      <c r="AP320">
        <f>IF(AND(AI320=1,AN320&gt;0),AO320/AN320,0)</f>
        <v>0</v>
      </c>
      <c r="AQ320" t="str">
        <f>IF(AI320=1,SUM($AI$5:AI320),"")</f>
        <v/>
      </c>
      <c r="AR320" t="str">
        <f>IF(AI320=1,IF(COUNTIFS($D$5:D320,D320,$AI$5:AI320,1)=1,SUMIFS($AJ$5:$AJ$504,$D$5:$D$504,D320),""),"")</f>
        <v/>
      </c>
      <c r="AS320" t="str">
        <f>IF(AG320=1,WEEKDAY(D320,2),"")</f>
        <v/>
      </c>
      <c r="AT320" s="31" t="str">
        <f>IF(AG320=1,DATE(YEAR(D320),MONTH(D320),1),"")</f>
        <v/>
      </c>
      <c r="AU320">
        <f>IF(AG320=0,0,IF(AND(OR('Prop challenge'!$D$7="",F320='Prop challenge'!$D$7),OR('Prop challenge'!$D$9="",D320&gt;='Prop challenge'!$D$9)),1,0))</f>
        <v>0</v>
      </c>
      <c r="AV320">
        <f>IF(AU320=1,IF(COUNTIFS($D$5:D320,D320,$AU$5:AU320,1)=1,1,0),0)</f>
        <v>0</v>
      </c>
      <c r="AW320" t="str">
        <f>IF(AV320=1,SUM($AV$5:AV320),"")</f>
        <v/>
      </c>
      <c r="AX320" t="str">
        <f>IF(AV320=1,SUMIFS($R$5:$R$504,$D$5:$D$504,D320,$AU$5:$AU$504,1),"")</f>
        <v/>
      </c>
    </row>
    <row r="321">
      <c r="A321" s="20" t="str">
        <f>IF(AG321=1,ROW()-4,"")</f>
        <v/>
      </c>
      <c r="B321" s="21" t="n"/>
      <c r="C321" s="22" t="n"/>
      <c r="D321" s="21" t="n"/>
      <c r="E321" s="22" t="n"/>
      <c r="F321" s="23" t="n"/>
      <c r="G321" s="23" t="n"/>
      <c r="H321" s="23" t="n"/>
      <c r="I321" s="24" t="n"/>
      <c r="J321" s="25" t="n"/>
      <c r="K321" s="25" t="n"/>
      <c r="L321" s="25" t="n"/>
      <c r="M321" s="25" t="n"/>
      <c r="N321" s="26" t="n"/>
      <c r="O321" s="26" t="n"/>
      <c r="P321" s="27" t="str">
        <f>IF(OR(J321="",K321="",I321="",AF321=0,AD321=""),"",(K321-J321)*AF321*I321*AD321*AE321)</f>
        <v/>
      </c>
      <c r="Q321" s="26" t="n"/>
      <c r="R321" s="28" t="str">
        <f>IF(Q321&lt;&gt;"",Q321,IF(P321="","",P321-N(N321)+N(O321)))</f>
        <v/>
      </c>
      <c r="S321" s="27" t="str">
        <f>IF(OR(L321="",J321="",I321="",AD321=""),"",ABS(J321-L321)*I321*AD321*AE321)</f>
        <v/>
      </c>
      <c r="T321" s="29" t="str">
        <f>IF(OR(R321="",S321="",S321=0),"",R321/S321)</f>
        <v/>
      </c>
      <c r="U321" s="20" t="str">
        <f>IF(R321="","",IF(R321&gt;0,"Ganadora",IF(R321&lt;0,"Perdedora","BE")))</f>
        <v/>
      </c>
      <c r="V321" s="23" t="n"/>
      <c r="W321" s="23" t="n"/>
      <c r="X321" s="23" t="n"/>
      <c r="Y321" s="23" t="n"/>
      <c r="Z321" s="23" t="n"/>
      <c r="AA321" s="23" t="n"/>
      <c r="AB321" s="30" t="n"/>
      <c r="AC321" s="1" t="n"/>
      <c r="AD321" s="1" t="str">
        <f>IF(G321="","",IFERROR(INDEX('Listas'!$N$6:$N$35,MATCH(G321,'Listas'!$M$6:$M$35,0)),""))</f>
        <v/>
      </c>
      <c r="AE321">
        <f>IF(G321="",1,IFERROR(INDEX('Listas'!$P$6:$P$35,MATCH(G321,'Listas'!$M$6:$M$35,0)),1))</f>
        <v>1</v>
      </c>
      <c r="AF321">
        <f>IF(H321="Compra",1,IF(H321="Venta",-1,0))</f>
        <v>0</v>
      </c>
      <c r="AG321">
        <f>IF(AND(D321&lt;&gt;"",ISNUMBER(R321)),1,0)</f>
        <v>0</v>
      </c>
      <c r="AH321">
        <f>IF(AG321=0,0,IF(OR('Panel'!$D$5="Todas las cuentas",'Panel'!$D$5="",F321='Panel'!$D$5),1,0))</f>
        <v>0</v>
      </c>
      <c r="AI321">
        <f>IF(AH321=0,0,IF(AND(OR('Panel'!$G$5="",D321&gt;='Panel'!$G$5),OR('Panel'!$J$5="",D321&lt;='Panel'!$J$5)),1,0))</f>
        <v>0</v>
      </c>
      <c r="AJ321">
        <f>IF(AI321=1,R321,0)</f>
        <v>0</v>
      </c>
      <c r="AK321" t="str">
        <f>IF(AI321=1,'Panel'!$AB$4+SUM($AJ$5:AJ321),"")</f>
        <v/>
      </c>
      <c r="AL321">
        <f>IF(AI321=0,N(AL320),IF(R321&lt;0,N(AL320)+1,0))</f>
        <v>1</v>
      </c>
      <c r="AM321">
        <f>IF(AI321=0,N(AM320),IF(R321&gt;0,N(AM320)+1,0))</f>
        <v>0</v>
      </c>
      <c r="AN321">
        <f>IF(AI321=1,MAX('Panel'!$AB$4,N(AN320),AK321),N(AN320))</f>
        <v>21371.061500000033</v>
      </c>
      <c r="AO321">
        <f>IF(AI321=1,AN321-AK321,0)</f>
        <v>0</v>
      </c>
      <c r="AP321">
        <f>IF(AND(AI321=1,AN321&gt;0),AO321/AN321,0)</f>
        <v>0</v>
      </c>
      <c r="AQ321" t="str">
        <f>IF(AI321=1,SUM($AI$5:AI321),"")</f>
        <v/>
      </c>
      <c r="AR321" t="str">
        <f>IF(AI321=1,IF(COUNTIFS($D$5:D321,D321,$AI$5:AI321,1)=1,SUMIFS($AJ$5:$AJ$504,$D$5:$D$504,D321),""),"")</f>
        <v/>
      </c>
      <c r="AS321" t="str">
        <f>IF(AG321=1,WEEKDAY(D321,2),"")</f>
        <v/>
      </c>
      <c r="AT321" s="31" t="str">
        <f>IF(AG321=1,DATE(YEAR(D321),MONTH(D321),1),"")</f>
        <v/>
      </c>
      <c r="AU321">
        <f>IF(AG321=0,0,IF(AND(OR('Prop challenge'!$D$7="",F321='Prop challenge'!$D$7),OR('Prop challenge'!$D$9="",D321&gt;='Prop challenge'!$D$9)),1,0))</f>
        <v>0</v>
      </c>
      <c r="AV321">
        <f>IF(AU321=1,IF(COUNTIFS($D$5:D321,D321,$AU$5:AU321,1)=1,1,0),0)</f>
        <v>0</v>
      </c>
      <c r="AW321" t="str">
        <f>IF(AV321=1,SUM($AV$5:AV321),"")</f>
        <v/>
      </c>
      <c r="AX321" t="str">
        <f>IF(AV321=1,SUMIFS($R$5:$R$504,$D$5:$D$504,D321,$AU$5:$AU$504,1),"")</f>
        <v/>
      </c>
    </row>
    <row r="322">
      <c r="A322" s="20" t="str">
        <f>IF(AG322=1,ROW()-4,"")</f>
        <v/>
      </c>
      <c r="B322" s="21" t="n"/>
      <c r="C322" s="22" t="n"/>
      <c r="D322" s="21" t="n"/>
      <c r="E322" s="22" t="n"/>
      <c r="F322" s="23" t="n"/>
      <c r="G322" s="23" t="n"/>
      <c r="H322" s="23" t="n"/>
      <c r="I322" s="24" t="n"/>
      <c r="J322" s="25" t="n"/>
      <c r="K322" s="25" t="n"/>
      <c r="L322" s="25" t="n"/>
      <c r="M322" s="25" t="n"/>
      <c r="N322" s="26" t="n"/>
      <c r="O322" s="26" t="n"/>
      <c r="P322" s="27" t="str">
        <f>IF(OR(J322="",K322="",I322="",AF322=0,AD322=""),"",(K322-J322)*AF322*I322*AD322*AE322)</f>
        <v/>
      </c>
      <c r="Q322" s="26" t="n"/>
      <c r="R322" s="28" t="str">
        <f>IF(Q322&lt;&gt;"",Q322,IF(P322="","",P322-N(N322)+N(O322)))</f>
        <v/>
      </c>
      <c r="S322" s="27" t="str">
        <f>IF(OR(L322="",J322="",I322="",AD322=""),"",ABS(J322-L322)*I322*AD322*AE322)</f>
        <v/>
      </c>
      <c r="T322" s="29" t="str">
        <f>IF(OR(R322="",S322="",S322=0),"",R322/S322)</f>
        <v/>
      </c>
      <c r="U322" s="20" t="str">
        <f>IF(R322="","",IF(R322&gt;0,"Ganadora",IF(R322&lt;0,"Perdedora","BE")))</f>
        <v/>
      </c>
      <c r="V322" s="23" t="n"/>
      <c r="W322" s="23" t="n"/>
      <c r="X322" s="23" t="n"/>
      <c r="Y322" s="23" t="n"/>
      <c r="Z322" s="23" t="n"/>
      <c r="AA322" s="23" t="n"/>
      <c r="AB322" s="30" t="n"/>
      <c r="AC322" s="1" t="n"/>
      <c r="AD322" s="1" t="str">
        <f>IF(G322="","",IFERROR(INDEX('Listas'!$N$6:$N$35,MATCH(G322,'Listas'!$M$6:$M$35,0)),""))</f>
        <v/>
      </c>
      <c r="AE322">
        <f>IF(G322="",1,IFERROR(INDEX('Listas'!$P$6:$P$35,MATCH(G322,'Listas'!$M$6:$M$35,0)),1))</f>
        <v>1</v>
      </c>
      <c r="AF322">
        <f>IF(H322="Compra",1,IF(H322="Venta",-1,0))</f>
        <v>0</v>
      </c>
      <c r="AG322">
        <f>IF(AND(D322&lt;&gt;"",ISNUMBER(R322)),1,0)</f>
        <v>0</v>
      </c>
      <c r="AH322">
        <f>IF(AG322=0,0,IF(OR('Panel'!$D$5="Todas las cuentas",'Panel'!$D$5="",F322='Panel'!$D$5),1,0))</f>
        <v>0</v>
      </c>
      <c r="AI322">
        <f>IF(AH322=0,0,IF(AND(OR('Panel'!$G$5="",D322&gt;='Panel'!$G$5),OR('Panel'!$J$5="",D322&lt;='Panel'!$J$5)),1,0))</f>
        <v>0</v>
      </c>
      <c r="AJ322">
        <f>IF(AI322=1,R322,0)</f>
        <v>0</v>
      </c>
      <c r="AK322" t="str">
        <f>IF(AI322=1,'Panel'!$AB$4+SUM($AJ$5:AJ322),"")</f>
        <v/>
      </c>
      <c r="AL322">
        <f>IF(AI322=0,N(AL321),IF(R322&lt;0,N(AL321)+1,0))</f>
        <v>1</v>
      </c>
      <c r="AM322">
        <f>IF(AI322=0,N(AM321),IF(R322&gt;0,N(AM321)+1,0))</f>
        <v>0</v>
      </c>
      <c r="AN322">
        <f>IF(AI322=1,MAX('Panel'!$AB$4,N(AN321),AK322),N(AN321))</f>
        <v>21371.061500000033</v>
      </c>
      <c r="AO322">
        <f>IF(AI322=1,AN322-AK322,0)</f>
        <v>0</v>
      </c>
      <c r="AP322">
        <f>IF(AND(AI322=1,AN322&gt;0),AO322/AN322,0)</f>
        <v>0</v>
      </c>
      <c r="AQ322" t="str">
        <f>IF(AI322=1,SUM($AI$5:AI322),"")</f>
        <v/>
      </c>
      <c r="AR322" t="str">
        <f>IF(AI322=1,IF(COUNTIFS($D$5:D322,D322,$AI$5:AI322,1)=1,SUMIFS($AJ$5:$AJ$504,$D$5:$D$504,D322),""),"")</f>
        <v/>
      </c>
      <c r="AS322" t="str">
        <f>IF(AG322=1,WEEKDAY(D322,2),"")</f>
        <v/>
      </c>
      <c r="AT322" s="31" t="str">
        <f>IF(AG322=1,DATE(YEAR(D322),MONTH(D322),1),"")</f>
        <v/>
      </c>
      <c r="AU322">
        <f>IF(AG322=0,0,IF(AND(OR('Prop challenge'!$D$7="",F322='Prop challenge'!$D$7),OR('Prop challenge'!$D$9="",D322&gt;='Prop challenge'!$D$9)),1,0))</f>
        <v>0</v>
      </c>
      <c r="AV322">
        <f>IF(AU322=1,IF(COUNTIFS($D$5:D322,D322,$AU$5:AU322,1)=1,1,0),0)</f>
        <v>0</v>
      </c>
      <c r="AW322" t="str">
        <f>IF(AV322=1,SUM($AV$5:AV322),"")</f>
        <v/>
      </c>
      <c r="AX322" t="str">
        <f>IF(AV322=1,SUMIFS($R$5:$R$504,$D$5:$D$504,D322,$AU$5:$AU$504,1),"")</f>
        <v/>
      </c>
    </row>
    <row r="323">
      <c r="A323" s="20" t="str">
        <f>IF(AG323=1,ROW()-4,"")</f>
        <v/>
      </c>
      <c r="B323" s="21" t="n"/>
      <c r="C323" s="22" t="n"/>
      <c r="D323" s="21" t="n"/>
      <c r="E323" s="22" t="n"/>
      <c r="F323" s="23" t="n"/>
      <c r="G323" s="23" t="n"/>
      <c r="H323" s="23" t="n"/>
      <c r="I323" s="24" t="n"/>
      <c r="J323" s="25" t="n"/>
      <c r="K323" s="25" t="n"/>
      <c r="L323" s="25" t="n"/>
      <c r="M323" s="25" t="n"/>
      <c r="N323" s="26" t="n"/>
      <c r="O323" s="26" t="n"/>
      <c r="P323" s="27" t="str">
        <f>IF(OR(J323="",K323="",I323="",AF323=0,AD323=""),"",(K323-J323)*AF323*I323*AD323*AE323)</f>
        <v/>
      </c>
      <c r="Q323" s="26" t="n"/>
      <c r="R323" s="28" t="str">
        <f>IF(Q323&lt;&gt;"",Q323,IF(P323="","",P323-N(N323)+N(O323)))</f>
        <v/>
      </c>
      <c r="S323" s="27" t="str">
        <f>IF(OR(L323="",J323="",I323="",AD323=""),"",ABS(J323-L323)*I323*AD323*AE323)</f>
        <v/>
      </c>
      <c r="T323" s="29" t="str">
        <f>IF(OR(R323="",S323="",S323=0),"",R323/S323)</f>
        <v/>
      </c>
      <c r="U323" s="20" t="str">
        <f>IF(R323="","",IF(R323&gt;0,"Ganadora",IF(R323&lt;0,"Perdedora","BE")))</f>
        <v/>
      </c>
      <c r="V323" s="23" t="n"/>
      <c r="W323" s="23" t="n"/>
      <c r="X323" s="23" t="n"/>
      <c r="Y323" s="23" t="n"/>
      <c r="Z323" s="23" t="n"/>
      <c r="AA323" s="23" t="n"/>
      <c r="AB323" s="30" t="n"/>
      <c r="AC323" s="1" t="n"/>
      <c r="AD323" s="1" t="str">
        <f>IF(G323="","",IFERROR(INDEX('Listas'!$N$6:$N$35,MATCH(G323,'Listas'!$M$6:$M$35,0)),""))</f>
        <v/>
      </c>
      <c r="AE323">
        <f>IF(G323="",1,IFERROR(INDEX('Listas'!$P$6:$P$35,MATCH(G323,'Listas'!$M$6:$M$35,0)),1))</f>
        <v>1</v>
      </c>
      <c r="AF323">
        <f>IF(H323="Compra",1,IF(H323="Venta",-1,0))</f>
        <v>0</v>
      </c>
      <c r="AG323">
        <f>IF(AND(D323&lt;&gt;"",ISNUMBER(R323)),1,0)</f>
        <v>0</v>
      </c>
      <c r="AH323">
        <f>IF(AG323=0,0,IF(OR('Panel'!$D$5="Todas las cuentas",'Panel'!$D$5="",F323='Panel'!$D$5),1,0))</f>
        <v>0</v>
      </c>
      <c r="AI323">
        <f>IF(AH323=0,0,IF(AND(OR('Panel'!$G$5="",D323&gt;='Panel'!$G$5),OR('Panel'!$J$5="",D323&lt;='Panel'!$J$5)),1,0))</f>
        <v>0</v>
      </c>
      <c r="AJ323">
        <f>IF(AI323=1,R323,0)</f>
        <v>0</v>
      </c>
      <c r="AK323" t="str">
        <f>IF(AI323=1,'Panel'!$AB$4+SUM($AJ$5:AJ323),"")</f>
        <v/>
      </c>
      <c r="AL323">
        <f>IF(AI323=0,N(AL322),IF(R323&lt;0,N(AL322)+1,0))</f>
        <v>1</v>
      </c>
      <c r="AM323">
        <f>IF(AI323=0,N(AM322),IF(R323&gt;0,N(AM322)+1,0))</f>
        <v>0</v>
      </c>
      <c r="AN323">
        <f>IF(AI323=1,MAX('Panel'!$AB$4,N(AN322),AK323),N(AN322))</f>
        <v>21371.061500000033</v>
      </c>
      <c r="AO323">
        <f>IF(AI323=1,AN323-AK323,0)</f>
        <v>0</v>
      </c>
      <c r="AP323">
        <f>IF(AND(AI323=1,AN323&gt;0),AO323/AN323,0)</f>
        <v>0</v>
      </c>
      <c r="AQ323" t="str">
        <f>IF(AI323=1,SUM($AI$5:AI323),"")</f>
        <v/>
      </c>
      <c r="AR323" t="str">
        <f>IF(AI323=1,IF(COUNTIFS($D$5:D323,D323,$AI$5:AI323,1)=1,SUMIFS($AJ$5:$AJ$504,$D$5:$D$504,D323),""),"")</f>
        <v/>
      </c>
      <c r="AS323" t="str">
        <f>IF(AG323=1,WEEKDAY(D323,2),"")</f>
        <v/>
      </c>
      <c r="AT323" s="31" t="str">
        <f>IF(AG323=1,DATE(YEAR(D323),MONTH(D323),1),"")</f>
        <v/>
      </c>
      <c r="AU323">
        <f>IF(AG323=0,0,IF(AND(OR('Prop challenge'!$D$7="",F323='Prop challenge'!$D$7),OR('Prop challenge'!$D$9="",D323&gt;='Prop challenge'!$D$9)),1,0))</f>
        <v>0</v>
      </c>
      <c r="AV323">
        <f>IF(AU323=1,IF(COUNTIFS($D$5:D323,D323,$AU$5:AU323,1)=1,1,0),0)</f>
        <v>0</v>
      </c>
      <c r="AW323" t="str">
        <f>IF(AV323=1,SUM($AV$5:AV323),"")</f>
        <v/>
      </c>
      <c r="AX323" t="str">
        <f>IF(AV323=1,SUMIFS($R$5:$R$504,$D$5:$D$504,D323,$AU$5:$AU$504,1),"")</f>
        <v/>
      </c>
    </row>
    <row r="324">
      <c r="A324" s="20" t="str">
        <f>IF(AG324=1,ROW()-4,"")</f>
        <v/>
      </c>
      <c r="B324" s="21" t="n"/>
      <c r="C324" s="22" t="n"/>
      <c r="D324" s="21" t="n"/>
      <c r="E324" s="22" t="n"/>
      <c r="F324" s="23" t="n"/>
      <c r="G324" s="23" t="n"/>
      <c r="H324" s="23" t="n"/>
      <c r="I324" s="24" t="n"/>
      <c r="J324" s="25" t="n"/>
      <c r="K324" s="25" t="n"/>
      <c r="L324" s="25" t="n"/>
      <c r="M324" s="25" t="n"/>
      <c r="N324" s="26" t="n"/>
      <c r="O324" s="26" t="n"/>
      <c r="P324" s="27" t="str">
        <f>IF(OR(J324="",K324="",I324="",AF324=0,AD324=""),"",(K324-J324)*AF324*I324*AD324*AE324)</f>
        <v/>
      </c>
      <c r="Q324" s="26" t="n"/>
      <c r="R324" s="28" t="str">
        <f>IF(Q324&lt;&gt;"",Q324,IF(P324="","",P324-N(N324)+N(O324)))</f>
        <v/>
      </c>
      <c r="S324" s="27" t="str">
        <f>IF(OR(L324="",J324="",I324="",AD324=""),"",ABS(J324-L324)*I324*AD324*AE324)</f>
        <v/>
      </c>
      <c r="T324" s="29" t="str">
        <f>IF(OR(R324="",S324="",S324=0),"",R324/S324)</f>
        <v/>
      </c>
      <c r="U324" s="20" t="str">
        <f>IF(R324="","",IF(R324&gt;0,"Ganadora",IF(R324&lt;0,"Perdedora","BE")))</f>
        <v/>
      </c>
      <c r="V324" s="23" t="n"/>
      <c r="W324" s="23" t="n"/>
      <c r="X324" s="23" t="n"/>
      <c r="Y324" s="23" t="n"/>
      <c r="Z324" s="23" t="n"/>
      <c r="AA324" s="23" t="n"/>
      <c r="AB324" s="30" t="n"/>
      <c r="AC324" s="1" t="n"/>
      <c r="AD324" s="1" t="str">
        <f>IF(G324="","",IFERROR(INDEX('Listas'!$N$6:$N$35,MATCH(G324,'Listas'!$M$6:$M$35,0)),""))</f>
        <v/>
      </c>
      <c r="AE324">
        <f>IF(G324="",1,IFERROR(INDEX('Listas'!$P$6:$P$35,MATCH(G324,'Listas'!$M$6:$M$35,0)),1))</f>
        <v>1</v>
      </c>
      <c r="AF324">
        <f>IF(H324="Compra",1,IF(H324="Venta",-1,0))</f>
        <v>0</v>
      </c>
      <c r="AG324">
        <f>IF(AND(D324&lt;&gt;"",ISNUMBER(R324)),1,0)</f>
        <v>0</v>
      </c>
      <c r="AH324">
        <f>IF(AG324=0,0,IF(OR('Panel'!$D$5="Todas las cuentas",'Panel'!$D$5="",F324='Panel'!$D$5),1,0))</f>
        <v>0</v>
      </c>
      <c r="AI324">
        <f>IF(AH324=0,0,IF(AND(OR('Panel'!$G$5="",D324&gt;='Panel'!$G$5),OR('Panel'!$J$5="",D324&lt;='Panel'!$J$5)),1,0))</f>
        <v>0</v>
      </c>
      <c r="AJ324">
        <f>IF(AI324=1,R324,0)</f>
        <v>0</v>
      </c>
      <c r="AK324" t="str">
        <f>IF(AI324=1,'Panel'!$AB$4+SUM($AJ$5:AJ324),"")</f>
        <v/>
      </c>
      <c r="AL324">
        <f>IF(AI324=0,N(AL323),IF(R324&lt;0,N(AL323)+1,0))</f>
        <v>1</v>
      </c>
      <c r="AM324">
        <f>IF(AI324=0,N(AM323),IF(R324&gt;0,N(AM323)+1,0))</f>
        <v>0</v>
      </c>
      <c r="AN324">
        <f>IF(AI324=1,MAX('Panel'!$AB$4,N(AN323),AK324),N(AN323))</f>
        <v>21371.061500000033</v>
      </c>
      <c r="AO324">
        <f>IF(AI324=1,AN324-AK324,0)</f>
        <v>0</v>
      </c>
      <c r="AP324">
        <f>IF(AND(AI324=1,AN324&gt;0),AO324/AN324,0)</f>
        <v>0</v>
      </c>
      <c r="AQ324" t="str">
        <f>IF(AI324=1,SUM($AI$5:AI324),"")</f>
        <v/>
      </c>
      <c r="AR324" t="str">
        <f>IF(AI324=1,IF(COUNTIFS($D$5:D324,D324,$AI$5:AI324,1)=1,SUMIFS($AJ$5:$AJ$504,$D$5:$D$504,D324),""),"")</f>
        <v/>
      </c>
      <c r="AS324" t="str">
        <f>IF(AG324=1,WEEKDAY(D324,2),"")</f>
        <v/>
      </c>
      <c r="AT324" s="31" t="str">
        <f>IF(AG324=1,DATE(YEAR(D324),MONTH(D324),1),"")</f>
        <v/>
      </c>
      <c r="AU324">
        <f>IF(AG324=0,0,IF(AND(OR('Prop challenge'!$D$7="",F324='Prop challenge'!$D$7),OR('Prop challenge'!$D$9="",D324&gt;='Prop challenge'!$D$9)),1,0))</f>
        <v>0</v>
      </c>
      <c r="AV324">
        <f>IF(AU324=1,IF(COUNTIFS($D$5:D324,D324,$AU$5:AU324,1)=1,1,0),0)</f>
        <v>0</v>
      </c>
      <c r="AW324" t="str">
        <f>IF(AV324=1,SUM($AV$5:AV324),"")</f>
        <v/>
      </c>
      <c r="AX324" t="str">
        <f>IF(AV324=1,SUMIFS($R$5:$R$504,$D$5:$D$504,D324,$AU$5:$AU$504,1),"")</f>
        <v/>
      </c>
    </row>
    <row r="325">
      <c r="A325" s="20" t="str">
        <f>IF(AG325=1,ROW()-4,"")</f>
        <v/>
      </c>
      <c r="B325" s="21" t="n"/>
      <c r="C325" s="22" t="n"/>
      <c r="D325" s="21" t="n"/>
      <c r="E325" s="22" t="n"/>
      <c r="F325" s="23" t="n"/>
      <c r="G325" s="23" t="n"/>
      <c r="H325" s="23" t="n"/>
      <c r="I325" s="24" t="n"/>
      <c r="J325" s="25" t="n"/>
      <c r="K325" s="25" t="n"/>
      <c r="L325" s="25" t="n"/>
      <c r="M325" s="25" t="n"/>
      <c r="N325" s="26" t="n"/>
      <c r="O325" s="26" t="n"/>
      <c r="P325" s="27" t="str">
        <f>IF(OR(J325="",K325="",I325="",AF325=0,AD325=""),"",(K325-J325)*AF325*I325*AD325*AE325)</f>
        <v/>
      </c>
      <c r="Q325" s="26" t="n"/>
      <c r="R325" s="28" t="str">
        <f>IF(Q325&lt;&gt;"",Q325,IF(P325="","",P325-N(N325)+N(O325)))</f>
        <v/>
      </c>
      <c r="S325" s="27" t="str">
        <f>IF(OR(L325="",J325="",I325="",AD325=""),"",ABS(J325-L325)*I325*AD325*AE325)</f>
        <v/>
      </c>
      <c r="T325" s="29" t="str">
        <f>IF(OR(R325="",S325="",S325=0),"",R325/S325)</f>
        <v/>
      </c>
      <c r="U325" s="20" t="str">
        <f>IF(R325="","",IF(R325&gt;0,"Ganadora",IF(R325&lt;0,"Perdedora","BE")))</f>
        <v/>
      </c>
      <c r="V325" s="23" t="n"/>
      <c r="W325" s="23" t="n"/>
      <c r="X325" s="23" t="n"/>
      <c r="Y325" s="23" t="n"/>
      <c r="Z325" s="23" t="n"/>
      <c r="AA325" s="23" t="n"/>
      <c r="AB325" s="30" t="n"/>
      <c r="AC325" s="1" t="n"/>
      <c r="AD325" s="1" t="str">
        <f>IF(G325="","",IFERROR(INDEX('Listas'!$N$6:$N$35,MATCH(G325,'Listas'!$M$6:$M$35,0)),""))</f>
        <v/>
      </c>
      <c r="AE325">
        <f>IF(G325="",1,IFERROR(INDEX('Listas'!$P$6:$P$35,MATCH(G325,'Listas'!$M$6:$M$35,0)),1))</f>
        <v>1</v>
      </c>
      <c r="AF325">
        <f>IF(H325="Compra",1,IF(H325="Venta",-1,0))</f>
        <v>0</v>
      </c>
      <c r="AG325">
        <f>IF(AND(D325&lt;&gt;"",ISNUMBER(R325)),1,0)</f>
        <v>0</v>
      </c>
      <c r="AH325">
        <f>IF(AG325=0,0,IF(OR('Panel'!$D$5="Todas las cuentas",'Panel'!$D$5="",F325='Panel'!$D$5),1,0))</f>
        <v>0</v>
      </c>
      <c r="AI325">
        <f>IF(AH325=0,0,IF(AND(OR('Panel'!$G$5="",D325&gt;='Panel'!$G$5),OR('Panel'!$J$5="",D325&lt;='Panel'!$J$5)),1,0))</f>
        <v>0</v>
      </c>
      <c r="AJ325">
        <f>IF(AI325=1,R325,0)</f>
        <v>0</v>
      </c>
      <c r="AK325" t="str">
        <f>IF(AI325=1,'Panel'!$AB$4+SUM($AJ$5:AJ325),"")</f>
        <v/>
      </c>
      <c r="AL325">
        <f>IF(AI325=0,N(AL324),IF(R325&lt;0,N(AL324)+1,0))</f>
        <v>1</v>
      </c>
      <c r="AM325">
        <f>IF(AI325=0,N(AM324),IF(R325&gt;0,N(AM324)+1,0))</f>
        <v>0</v>
      </c>
      <c r="AN325">
        <f>IF(AI325=1,MAX('Panel'!$AB$4,N(AN324),AK325),N(AN324))</f>
        <v>21371.061500000033</v>
      </c>
      <c r="AO325">
        <f>IF(AI325=1,AN325-AK325,0)</f>
        <v>0</v>
      </c>
      <c r="AP325">
        <f>IF(AND(AI325=1,AN325&gt;0),AO325/AN325,0)</f>
        <v>0</v>
      </c>
      <c r="AQ325" t="str">
        <f>IF(AI325=1,SUM($AI$5:AI325),"")</f>
        <v/>
      </c>
      <c r="AR325" t="str">
        <f>IF(AI325=1,IF(COUNTIFS($D$5:D325,D325,$AI$5:AI325,1)=1,SUMIFS($AJ$5:$AJ$504,$D$5:$D$504,D325),""),"")</f>
        <v/>
      </c>
      <c r="AS325" t="str">
        <f>IF(AG325=1,WEEKDAY(D325,2),"")</f>
        <v/>
      </c>
      <c r="AT325" s="31" t="str">
        <f>IF(AG325=1,DATE(YEAR(D325),MONTH(D325),1),"")</f>
        <v/>
      </c>
      <c r="AU325">
        <f>IF(AG325=0,0,IF(AND(OR('Prop challenge'!$D$7="",F325='Prop challenge'!$D$7),OR('Prop challenge'!$D$9="",D325&gt;='Prop challenge'!$D$9)),1,0))</f>
        <v>0</v>
      </c>
      <c r="AV325">
        <f>IF(AU325=1,IF(COUNTIFS($D$5:D325,D325,$AU$5:AU325,1)=1,1,0),0)</f>
        <v>0</v>
      </c>
      <c r="AW325" t="str">
        <f>IF(AV325=1,SUM($AV$5:AV325),"")</f>
        <v/>
      </c>
      <c r="AX325" t="str">
        <f>IF(AV325=1,SUMIFS($R$5:$R$504,$D$5:$D$504,D325,$AU$5:$AU$504,1),"")</f>
        <v/>
      </c>
    </row>
    <row r="326">
      <c r="A326" s="20" t="str">
        <f>IF(AG326=1,ROW()-4,"")</f>
        <v/>
      </c>
      <c r="B326" s="21" t="n"/>
      <c r="C326" s="22" t="n"/>
      <c r="D326" s="21" t="n"/>
      <c r="E326" s="22" t="n"/>
      <c r="F326" s="23" t="n"/>
      <c r="G326" s="23" t="n"/>
      <c r="H326" s="23" t="n"/>
      <c r="I326" s="24" t="n"/>
      <c r="J326" s="25" t="n"/>
      <c r="K326" s="25" t="n"/>
      <c r="L326" s="25" t="n"/>
      <c r="M326" s="25" t="n"/>
      <c r="N326" s="26" t="n"/>
      <c r="O326" s="26" t="n"/>
      <c r="P326" s="27" t="str">
        <f>IF(OR(J326="",K326="",I326="",AF326=0,AD326=""),"",(K326-J326)*AF326*I326*AD326*AE326)</f>
        <v/>
      </c>
      <c r="Q326" s="26" t="n"/>
      <c r="R326" s="28" t="str">
        <f>IF(Q326&lt;&gt;"",Q326,IF(P326="","",P326-N(N326)+N(O326)))</f>
        <v/>
      </c>
      <c r="S326" s="27" t="str">
        <f>IF(OR(L326="",J326="",I326="",AD326=""),"",ABS(J326-L326)*I326*AD326*AE326)</f>
        <v/>
      </c>
      <c r="T326" s="29" t="str">
        <f>IF(OR(R326="",S326="",S326=0),"",R326/S326)</f>
        <v/>
      </c>
      <c r="U326" s="20" t="str">
        <f>IF(R326="","",IF(R326&gt;0,"Ganadora",IF(R326&lt;0,"Perdedora","BE")))</f>
        <v/>
      </c>
      <c r="V326" s="23" t="n"/>
      <c r="W326" s="23" t="n"/>
      <c r="X326" s="23" t="n"/>
      <c r="Y326" s="23" t="n"/>
      <c r="Z326" s="23" t="n"/>
      <c r="AA326" s="23" t="n"/>
      <c r="AB326" s="30" t="n"/>
      <c r="AC326" s="1" t="n"/>
      <c r="AD326" s="1" t="str">
        <f>IF(G326="","",IFERROR(INDEX('Listas'!$N$6:$N$35,MATCH(G326,'Listas'!$M$6:$M$35,0)),""))</f>
        <v/>
      </c>
      <c r="AE326">
        <f>IF(G326="",1,IFERROR(INDEX('Listas'!$P$6:$P$35,MATCH(G326,'Listas'!$M$6:$M$35,0)),1))</f>
        <v>1</v>
      </c>
      <c r="AF326">
        <f>IF(H326="Compra",1,IF(H326="Venta",-1,0))</f>
        <v>0</v>
      </c>
      <c r="AG326">
        <f>IF(AND(D326&lt;&gt;"",ISNUMBER(R326)),1,0)</f>
        <v>0</v>
      </c>
      <c r="AH326">
        <f>IF(AG326=0,0,IF(OR('Panel'!$D$5="Todas las cuentas",'Panel'!$D$5="",F326='Panel'!$D$5),1,0))</f>
        <v>0</v>
      </c>
      <c r="AI326">
        <f>IF(AH326=0,0,IF(AND(OR('Panel'!$G$5="",D326&gt;='Panel'!$G$5),OR('Panel'!$J$5="",D326&lt;='Panel'!$J$5)),1,0))</f>
        <v>0</v>
      </c>
      <c r="AJ326">
        <f>IF(AI326=1,R326,0)</f>
        <v>0</v>
      </c>
      <c r="AK326" t="str">
        <f>IF(AI326=1,'Panel'!$AB$4+SUM($AJ$5:AJ326),"")</f>
        <v/>
      </c>
      <c r="AL326">
        <f>IF(AI326=0,N(AL325),IF(R326&lt;0,N(AL325)+1,0))</f>
        <v>1</v>
      </c>
      <c r="AM326">
        <f>IF(AI326=0,N(AM325),IF(R326&gt;0,N(AM325)+1,0))</f>
        <v>0</v>
      </c>
      <c r="AN326">
        <f>IF(AI326=1,MAX('Panel'!$AB$4,N(AN325),AK326),N(AN325))</f>
        <v>21371.061500000033</v>
      </c>
      <c r="AO326">
        <f>IF(AI326=1,AN326-AK326,0)</f>
        <v>0</v>
      </c>
      <c r="AP326">
        <f>IF(AND(AI326=1,AN326&gt;0),AO326/AN326,0)</f>
        <v>0</v>
      </c>
      <c r="AQ326" t="str">
        <f>IF(AI326=1,SUM($AI$5:AI326),"")</f>
        <v/>
      </c>
      <c r="AR326" t="str">
        <f>IF(AI326=1,IF(COUNTIFS($D$5:D326,D326,$AI$5:AI326,1)=1,SUMIFS($AJ$5:$AJ$504,$D$5:$D$504,D326),""),"")</f>
        <v/>
      </c>
      <c r="AS326" t="str">
        <f>IF(AG326=1,WEEKDAY(D326,2),"")</f>
        <v/>
      </c>
      <c r="AT326" s="31" t="str">
        <f>IF(AG326=1,DATE(YEAR(D326),MONTH(D326),1),"")</f>
        <v/>
      </c>
      <c r="AU326">
        <f>IF(AG326=0,0,IF(AND(OR('Prop challenge'!$D$7="",F326='Prop challenge'!$D$7),OR('Prop challenge'!$D$9="",D326&gt;='Prop challenge'!$D$9)),1,0))</f>
        <v>0</v>
      </c>
      <c r="AV326">
        <f>IF(AU326=1,IF(COUNTIFS($D$5:D326,D326,$AU$5:AU326,1)=1,1,0),0)</f>
        <v>0</v>
      </c>
      <c r="AW326" t="str">
        <f>IF(AV326=1,SUM($AV$5:AV326),"")</f>
        <v/>
      </c>
      <c r="AX326" t="str">
        <f>IF(AV326=1,SUMIFS($R$5:$R$504,$D$5:$D$504,D326,$AU$5:$AU$504,1),"")</f>
        <v/>
      </c>
    </row>
    <row r="327">
      <c r="A327" s="20" t="str">
        <f>IF(AG327=1,ROW()-4,"")</f>
        <v/>
      </c>
      <c r="B327" s="21" t="n"/>
      <c r="C327" s="22" t="n"/>
      <c r="D327" s="21" t="n"/>
      <c r="E327" s="22" t="n"/>
      <c r="F327" s="23" t="n"/>
      <c r="G327" s="23" t="n"/>
      <c r="H327" s="23" t="n"/>
      <c r="I327" s="24" t="n"/>
      <c r="J327" s="25" t="n"/>
      <c r="K327" s="25" t="n"/>
      <c r="L327" s="25" t="n"/>
      <c r="M327" s="25" t="n"/>
      <c r="N327" s="26" t="n"/>
      <c r="O327" s="26" t="n"/>
      <c r="P327" s="27" t="str">
        <f>IF(OR(J327="",K327="",I327="",AF327=0,AD327=""),"",(K327-J327)*AF327*I327*AD327*AE327)</f>
        <v/>
      </c>
      <c r="Q327" s="26" t="n"/>
      <c r="R327" s="28" t="str">
        <f>IF(Q327&lt;&gt;"",Q327,IF(P327="","",P327-N(N327)+N(O327)))</f>
        <v/>
      </c>
      <c r="S327" s="27" t="str">
        <f>IF(OR(L327="",J327="",I327="",AD327=""),"",ABS(J327-L327)*I327*AD327*AE327)</f>
        <v/>
      </c>
      <c r="T327" s="29" t="str">
        <f>IF(OR(R327="",S327="",S327=0),"",R327/S327)</f>
        <v/>
      </c>
      <c r="U327" s="20" t="str">
        <f>IF(R327="","",IF(R327&gt;0,"Ganadora",IF(R327&lt;0,"Perdedora","BE")))</f>
        <v/>
      </c>
      <c r="V327" s="23" t="n"/>
      <c r="W327" s="23" t="n"/>
      <c r="X327" s="23" t="n"/>
      <c r="Y327" s="23" t="n"/>
      <c r="Z327" s="23" t="n"/>
      <c r="AA327" s="23" t="n"/>
      <c r="AB327" s="30" t="n"/>
      <c r="AC327" s="1" t="n"/>
      <c r="AD327" s="1" t="str">
        <f>IF(G327="","",IFERROR(INDEX('Listas'!$N$6:$N$35,MATCH(G327,'Listas'!$M$6:$M$35,0)),""))</f>
        <v/>
      </c>
      <c r="AE327">
        <f>IF(G327="",1,IFERROR(INDEX('Listas'!$P$6:$P$35,MATCH(G327,'Listas'!$M$6:$M$35,0)),1))</f>
        <v>1</v>
      </c>
      <c r="AF327">
        <f>IF(H327="Compra",1,IF(H327="Venta",-1,0))</f>
        <v>0</v>
      </c>
      <c r="AG327">
        <f>IF(AND(D327&lt;&gt;"",ISNUMBER(R327)),1,0)</f>
        <v>0</v>
      </c>
      <c r="AH327">
        <f>IF(AG327=0,0,IF(OR('Panel'!$D$5="Todas las cuentas",'Panel'!$D$5="",F327='Panel'!$D$5),1,0))</f>
        <v>0</v>
      </c>
      <c r="AI327">
        <f>IF(AH327=0,0,IF(AND(OR('Panel'!$G$5="",D327&gt;='Panel'!$G$5),OR('Panel'!$J$5="",D327&lt;='Panel'!$J$5)),1,0))</f>
        <v>0</v>
      </c>
      <c r="AJ327">
        <f>IF(AI327=1,R327,0)</f>
        <v>0</v>
      </c>
      <c r="AK327" t="str">
        <f>IF(AI327=1,'Panel'!$AB$4+SUM($AJ$5:AJ327),"")</f>
        <v/>
      </c>
      <c r="AL327">
        <f>IF(AI327=0,N(AL326),IF(R327&lt;0,N(AL326)+1,0))</f>
        <v>1</v>
      </c>
      <c r="AM327">
        <f>IF(AI327=0,N(AM326),IF(R327&gt;0,N(AM326)+1,0))</f>
        <v>0</v>
      </c>
      <c r="AN327">
        <f>IF(AI327=1,MAX('Panel'!$AB$4,N(AN326),AK327),N(AN326))</f>
        <v>21371.061500000033</v>
      </c>
      <c r="AO327">
        <f>IF(AI327=1,AN327-AK327,0)</f>
        <v>0</v>
      </c>
      <c r="AP327">
        <f>IF(AND(AI327=1,AN327&gt;0),AO327/AN327,0)</f>
        <v>0</v>
      </c>
      <c r="AQ327" t="str">
        <f>IF(AI327=1,SUM($AI$5:AI327),"")</f>
        <v/>
      </c>
      <c r="AR327" t="str">
        <f>IF(AI327=1,IF(COUNTIFS($D$5:D327,D327,$AI$5:AI327,1)=1,SUMIFS($AJ$5:$AJ$504,$D$5:$D$504,D327),""),"")</f>
        <v/>
      </c>
      <c r="AS327" t="str">
        <f>IF(AG327=1,WEEKDAY(D327,2),"")</f>
        <v/>
      </c>
      <c r="AT327" s="31" t="str">
        <f>IF(AG327=1,DATE(YEAR(D327),MONTH(D327),1),"")</f>
        <v/>
      </c>
      <c r="AU327">
        <f>IF(AG327=0,0,IF(AND(OR('Prop challenge'!$D$7="",F327='Prop challenge'!$D$7),OR('Prop challenge'!$D$9="",D327&gt;='Prop challenge'!$D$9)),1,0))</f>
        <v>0</v>
      </c>
      <c r="AV327">
        <f>IF(AU327=1,IF(COUNTIFS($D$5:D327,D327,$AU$5:AU327,1)=1,1,0),0)</f>
        <v>0</v>
      </c>
      <c r="AW327" t="str">
        <f>IF(AV327=1,SUM($AV$5:AV327),"")</f>
        <v/>
      </c>
      <c r="AX327" t="str">
        <f>IF(AV327=1,SUMIFS($R$5:$R$504,$D$5:$D$504,D327,$AU$5:$AU$504,1),"")</f>
        <v/>
      </c>
    </row>
    <row r="328">
      <c r="A328" s="20" t="str">
        <f>IF(AG328=1,ROW()-4,"")</f>
        <v/>
      </c>
      <c r="B328" s="21" t="n"/>
      <c r="C328" s="22" t="n"/>
      <c r="D328" s="21" t="n"/>
      <c r="E328" s="22" t="n"/>
      <c r="F328" s="23" t="n"/>
      <c r="G328" s="23" t="n"/>
      <c r="H328" s="23" t="n"/>
      <c r="I328" s="24" t="n"/>
      <c r="J328" s="25" t="n"/>
      <c r="K328" s="25" t="n"/>
      <c r="L328" s="25" t="n"/>
      <c r="M328" s="25" t="n"/>
      <c r="N328" s="26" t="n"/>
      <c r="O328" s="26" t="n"/>
      <c r="P328" s="27" t="str">
        <f>IF(OR(J328="",K328="",I328="",AF328=0,AD328=""),"",(K328-J328)*AF328*I328*AD328*AE328)</f>
        <v/>
      </c>
      <c r="Q328" s="26" t="n"/>
      <c r="R328" s="28" t="str">
        <f>IF(Q328&lt;&gt;"",Q328,IF(P328="","",P328-N(N328)+N(O328)))</f>
        <v/>
      </c>
      <c r="S328" s="27" t="str">
        <f>IF(OR(L328="",J328="",I328="",AD328=""),"",ABS(J328-L328)*I328*AD328*AE328)</f>
        <v/>
      </c>
      <c r="T328" s="29" t="str">
        <f>IF(OR(R328="",S328="",S328=0),"",R328/S328)</f>
        <v/>
      </c>
      <c r="U328" s="20" t="str">
        <f>IF(R328="","",IF(R328&gt;0,"Ganadora",IF(R328&lt;0,"Perdedora","BE")))</f>
        <v/>
      </c>
      <c r="V328" s="23" t="n"/>
      <c r="W328" s="23" t="n"/>
      <c r="X328" s="23" t="n"/>
      <c r="Y328" s="23" t="n"/>
      <c r="Z328" s="23" t="n"/>
      <c r="AA328" s="23" t="n"/>
      <c r="AB328" s="30" t="n"/>
      <c r="AC328" s="1" t="n"/>
      <c r="AD328" s="1" t="str">
        <f>IF(G328="","",IFERROR(INDEX('Listas'!$N$6:$N$35,MATCH(G328,'Listas'!$M$6:$M$35,0)),""))</f>
        <v/>
      </c>
      <c r="AE328">
        <f>IF(G328="",1,IFERROR(INDEX('Listas'!$P$6:$P$35,MATCH(G328,'Listas'!$M$6:$M$35,0)),1))</f>
        <v>1</v>
      </c>
      <c r="AF328">
        <f>IF(H328="Compra",1,IF(H328="Venta",-1,0))</f>
        <v>0</v>
      </c>
      <c r="AG328">
        <f>IF(AND(D328&lt;&gt;"",ISNUMBER(R328)),1,0)</f>
        <v>0</v>
      </c>
      <c r="AH328">
        <f>IF(AG328=0,0,IF(OR('Panel'!$D$5="Todas las cuentas",'Panel'!$D$5="",F328='Panel'!$D$5),1,0))</f>
        <v>0</v>
      </c>
      <c r="AI328">
        <f>IF(AH328=0,0,IF(AND(OR('Panel'!$G$5="",D328&gt;='Panel'!$G$5),OR('Panel'!$J$5="",D328&lt;='Panel'!$J$5)),1,0))</f>
        <v>0</v>
      </c>
      <c r="AJ328">
        <f>IF(AI328=1,R328,0)</f>
        <v>0</v>
      </c>
      <c r="AK328" t="str">
        <f>IF(AI328=1,'Panel'!$AB$4+SUM($AJ$5:AJ328),"")</f>
        <v/>
      </c>
      <c r="AL328">
        <f>IF(AI328=0,N(AL327),IF(R328&lt;0,N(AL327)+1,0))</f>
        <v>1</v>
      </c>
      <c r="AM328">
        <f>IF(AI328=0,N(AM327),IF(R328&gt;0,N(AM327)+1,0))</f>
        <v>0</v>
      </c>
      <c r="AN328">
        <f>IF(AI328=1,MAX('Panel'!$AB$4,N(AN327),AK328),N(AN327))</f>
        <v>21371.061500000033</v>
      </c>
      <c r="AO328">
        <f>IF(AI328=1,AN328-AK328,0)</f>
        <v>0</v>
      </c>
      <c r="AP328">
        <f>IF(AND(AI328=1,AN328&gt;0),AO328/AN328,0)</f>
        <v>0</v>
      </c>
      <c r="AQ328" t="str">
        <f>IF(AI328=1,SUM($AI$5:AI328),"")</f>
        <v/>
      </c>
      <c r="AR328" t="str">
        <f>IF(AI328=1,IF(COUNTIFS($D$5:D328,D328,$AI$5:AI328,1)=1,SUMIFS($AJ$5:$AJ$504,$D$5:$D$504,D328),""),"")</f>
        <v/>
      </c>
      <c r="AS328" t="str">
        <f>IF(AG328=1,WEEKDAY(D328,2),"")</f>
        <v/>
      </c>
      <c r="AT328" s="31" t="str">
        <f>IF(AG328=1,DATE(YEAR(D328),MONTH(D328),1),"")</f>
        <v/>
      </c>
      <c r="AU328">
        <f>IF(AG328=0,0,IF(AND(OR('Prop challenge'!$D$7="",F328='Prop challenge'!$D$7),OR('Prop challenge'!$D$9="",D328&gt;='Prop challenge'!$D$9)),1,0))</f>
        <v>0</v>
      </c>
      <c r="AV328">
        <f>IF(AU328=1,IF(COUNTIFS($D$5:D328,D328,$AU$5:AU328,1)=1,1,0),0)</f>
        <v>0</v>
      </c>
      <c r="AW328" t="str">
        <f>IF(AV328=1,SUM($AV$5:AV328),"")</f>
        <v/>
      </c>
      <c r="AX328" t="str">
        <f>IF(AV328=1,SUMIFS($R$5:$R$504,$D$5:$D$504,D328,$AU$5:$AU$504,1),"")</f>
        <v/>
      </c>
    </row>
    <row r="329">
      <c r="A329" s="20" t="str">
        <f>IF(AG329=1,ROW()-4,"")</f>
        <v/>
      </c>
      <c r="B329" s="21" t="n"/>
      <c r="C329" s="22" t="n"/>
      <c r="D329" s="21" t="n"/>
      <c r="E329" s="22" t="n"/>
      <c r="F329" s="23" t="n"/>
      <c r="G329" s="23" t="n"/>
      <c r="H329" s="23" t="n"/>
      <c r="I329" s="24" t="n"/>
      <c r="J329" s="25" t="n"/>
      <c r="K329" s="25" t="n"/>
      <c r="L329" s="25" t="n"/>
      <c r="M329" s="25" t="n"/>
      <c r="N329" s="26" t="n"/>
      <c r="O329" s="26" t="n"/>
      <c r="P329" s="27" t="str">
        <f>IF(OR(J329="",K329="",I329="",AF329=0,AD329=""),"",(K329-J329)*AF329*I329*AD329*AE329)</f>
        <v/>
      </c>
      <c r="Q329" s="26" t="n"/>
      <c r="R329" s="28" t="str">
        <f>IF(Q329&lt;&gt;"",Q329,IF(P329="","",P329-N(N329)+N(O329)))</f>
        <v/>
      </c>
      <c r="S329" s="27" t="str">
        <f>IF(OR(L329="",J329="",I329="",AD329=""),"",ABS(J329-L329)*I329*AD329*AE329)</f>
        <v/>
      </c>
      <c r="T329" s="29" t="str">
        <f>IF(OR(R329="",S329="",S329=0),"",R329/S329)</f>
        <v/>
      </c>
      <c r="U329" s="20" t="str">
        <f>IF(R329="","",IF(R329&gt;0,"Ganadora",IF(R329&lt;0,"Perdedora","BE")))</f>
        <v/>
      </c>
      <c r="V329" s="23" t="n"/>
      <c r="W329" s="23" t="n"/>
      <c r="X329" s="23" t="n"/>
      <c r="Y329" s="23" t="n"/>
      <c r="Z329" s="23" t="n"/>
      <c r="AA329" s="23" t="n"/>
      <c r="AB329" s="30" t="n"/>
      <c r="AC329" s="1" t="n"/>
      <c r="AD329" s="1" t="str">
        <f>IF(G329="","",IFERROR(INDEX('Listas'!$N$6:$N$35,MATCH(G329,'Listas'!$M$6:$M$35,0)),""))</f>
        <v/>
      </c>
      <c r="AE329">
        <f>IF(G329="",1,IFERROR(INDEX('Listas'!$P$6:$P$35,MATCH(G329,'Listas'!$M$6:$M$35,0)),1))</f>
        <v>1</v>
      </c>
      <c r="AF329">
        <f>IF(H329="Compra",1,IF(H329="Venta",-1,0))</f>
        <v>0</v>
      </c>
      <c r="AG329">
        <f>IF(AND(D329&lt;&gt;"",ISNUMBER(R329)),1,0)</f>
        <v>0</v>
      </c>
      <c r="AH329">
        <f>IF(AG329=0,0,IF(OR('Panel'!$D$5="Todas las cuentas",'Panel'!$D$5="",F329='Panel'!$D$5),1,0))</f>
        <v>0</v>
      </c>
      <c r="AI329">
        <f>IF(AH329=0,0,IF(AND(OR('Panel'!$G$5="",D329&gt;='Panel'!$G$5),OR('Panel'!$J$5="",D329&lt;='Panel'!$J$5)),1,0))</f>
        <v>0</v>
      </c>
      <c r="AJ329">
        <f>IF(AI329=1,R329,0)</f>
        <v>0</v>
      </c>
      <c r="AK329" t="str">
        <f>IF(AI329=1,'Panel'!$AB$4+SUM($AJ$5:AJ329),"")</f>
        <v/>
      </c>
      <c r="AL329">
        <f>IF(AI329=0,N(AL328),IF(R329&lt;0,N(AL328)+1,0))</f>
        <v>1</v>
      </c>
      <c r="AM329">
        <f>IF(AI329=0,N(AM328),IF(R329&gt;0,N(AM328)+1,0))</f>
        <v>0</v>
      </c>
      <c r="AN329">
        <f>IF(AI329=1,MAX('Panel'!$AB$4,N(AN328),AK329),N(AN328))</f>
        <v>21371.061500000033</v>
      </c>
      <c r="AO329">
        <f>IF(AI329=1,AN329-AK329,0)</f>
        <v>0</v>
      </c>
      <c r="AP329">
        <f>IF(AND(AI329=1,AN329&gt;0),AO329/AN329,0)</f>
        <v>0</v>
      </c>
      <c r="AQ329" t="str">
        <f>IF(AI329=1,SUM($AI$5:AI329),"")</f>
        <v/>
      </c>
      <c r="AR329" t="str">
        <f>IF(AI329=1,IF(COUNTIFS($D$5:D329,D329,$AI$5:AI329,1)=1,SUMIFS($AJ$5:$AJ$504,$D$5:$D$504,D329),""),"")</f>
        <v/>
      </c>
      <c r="AS329" t="str">
        <f>IF(AG329=1,WEEKDAY(D329,2),"")</f>
        <v/>
      </c>
      <c r="AT329" s="31" t="str">
        <f>IF(AG329=1,DATE(YEAR(D329),MONTH(D329),1),"")</f>
        <v/>
      </c>
      <c r="AU329">
        <f>IF(AG329=0,0,IF(AND(OR('Prop challenge'!$D$7="",F329='Prop challenge'!$D$7),OR('Prop challenge'!$D$9="",D329&gt;='Prop challenge'!$D$9)),1,0))</f>
        <v>0</v>
      </c>
      <c r="AV329">
        <f>IF(AU329=1,IF(COUNTIFS($D$5:D329,D329,$AU$5:AU329,1)=1,1,0),0)</f>
        <v>0</v>
      </c>
      <c r="AW329" t="str">
        <f>IF(AV329=1,SUM($AV$5:AV329),"")</f>
        <v/>
      </c>
      <c r="AX329" t="str">
        <f>IF(AV329=1,SUMIFS($R$5:$R$504,$D$5:$D$504,D329,$AU$5:$AU$504,1),"")</f>
        <v/>
      </c>
    </row>
    <row r="330">
      <c r="A330" s="20" t="str">
        <f>IF(AG330=1,ROW()-4,"")</f>
        <v/>
      </c>
      <c r="B330" s="21" t="n"/>
      <c r="C330" s="22" t="n"/>
      <c r="D330" s="21" t="n"/>
      <c r="E330" s="22" t="n"/>
      <c r="F330" s="23" t="n"/>
      <c r="G330" s="23" t="n"/>
      <c r="H330" s="23" t="n"/>
      <c r="I330" s="24" t="n"/>
      <c r="J330" s="25" t="n"/>
      <c r="K330" s="25" t="n"/>
      <c r="L330" s="25" t="n"/>
      <c r="M330" s="25" t="n"/>
      <c r="N330" s="26" t="n"/>
      <c r="O330" s="26" t="n"/>
      <c r="P330" s="27" t="str">
        <f>IF(OR(J330="",K330="",I330="",AF330=0,AD330=""),"",(K330-J330)*AF330*I330*AD330*AE330)</f>
        <v/>
      </c>
      <c r="Q330" s="26" t="n"/>
      <c r="R330" s="28" t="str">
        <f>IF(Q330&lt;&gt;"",Q330,IF(P330="","",P330-N(N330)+N(O330)))</f>
        <v/>
      </c>
      <c r="S330" s="27" t="str">
        <f>IF(OR(L330="",J330="",I330="",AD330=""),"",ABS(J330-L330)*I330*AD330*AE330)</f>
        <v/>
      </c>
      <c r="T330" s="29" t="str">
        <f>IF(OR(R330="",S330="",S330=0),"",R330/S330)</f>
        <v/>
      </c>
      <c r="U330" s="20" t="str">
        <f>IF(R330="","",IF(R330&gt;0,"Ganadora",IF(R330&lt;0,"Perdedora","BE")))</f>
        <v/>
      </c>
      <c r="V330" s="23" t="n"/>
      <c r="W330" s="23" t="n"/>
      <c r="X330" s="23" t="n"/>
      <c r="Y330" s="23" t="n"/>
      <c r="Z330" s="23" t="n"/>
      <c r="AA330" s="23" t="n"/>
      <c r="AB330" s="30" t="n"/>
      <c r="AC330" s="1" t="n"/>
      <c r="AD330" s="1" t="str">
        <f>IF(G330="","",IFERROR(INDEX('Listas'!$N$6:$N$35,MATCH(G330,'Listas'!$M$6:$M$35,0)),""))</f>
        <v/>
      </c>
      <c r="AE330">
        <f>IF(G330="",1,IFERROR(INDEX('Listas'!$P$6:$P$35,MATCH(G330,'Listas'!$M$6:$M$35,0)),1))</f>
        <v>1</v>
      </c>
      <c r="AF330">
        <f>IF(H330="Compra",1,IF(H330="Venta",-1,0))</f>
        <v>0</v>
      </c>
      <c r="AG330">
        <f>IF(AND(D330&lt;&gt;"",ISNUMBER(R330)),1,0)</f>
        <v>0</v>
      </c>
      <c r="AH330">
        <f>IF(AG330=0,0,IF(OR('Panel'!$D$5="Todas las cuentas",'Panel'!$D$5="",F330='Panel'!$D$5),1,0))</f>
        <v>0</v>
      </c>
      <c r="AI330">
        <f>IF(AH330=0,0,IF(AND(OR('Panel'!$G$5="",D330&gt;='Panel'!$G$5),OR('Panel'!$J$5="",D330&lt;='Panel'!$J$5)),1,0))</f>
        <v>0</v>
      </c>
      <c r="AJ330">
        <f>IF(AI330=1,R330,0)</f>
        <v>0</v>
      </c>
      <c r="AK330" t="str">
        <f>IF(AI330=1,'Panel'!$AB$4+SUM($AJ$5:AJ330),"")</f>
        <v/>
      </c>
      <c r="AL330">
        <f>IF(AI330=0,N(AL329),IF(R330&lt;0,N(AL329)+1,0))</f>
        <v>1</v>
      </c>
      <c r="AM330">
        <f>IF(AI330=0,N(AM329),IF(R330&gt;0,N(AM329)+1,0))</f>
        <v>0</v>
      </c>
      <c r="AN330">
        <f>IF(AI330=1,MAX('Panel'!$AB$4,N(AN329),AK330),N(AN329))</f>
        <v>21371.061500000033</v>
      </c>
      <c r="AO330">
        <f>IF(AI330=1,AN330-AK330,0)</f>
        <v>0</v>
      </c>
      <c r="AP330">
        <f>IF(AND(AI330=1,AN330&gt;0),AO330/AN330,0)</f>
        <v>0</v>
      </c>
      <c r="AQ330" t="str">
        <f>IF(AI330=1,SUM($AI$5:AI330),"")</f>
        <v/>
      </c>
      <c r="AR330" t="str">
        <f>IF(AI330=1,IF(COUNTIFS($D$5:D330,D330,$AI$5:AI330,1)=1,SUMIFS($AJ$5:$AJ$504,$D$5:$D$504,D330),""),"")</f>
        <v/>
      </c>
      <c r="AS330" t="str">
        <f>IF(AG330=1,WEEKDAY(D330,2),"")</f>
        <v/>
      </c>
      <c r="AT330" s="31" t="str">
        <f>IF(AG330=1,DATE(YEAR(D330),MONTH(D330),1),"")</f>
        <v/>
      </c>
      <c r="AU330">
        <f>IF(AG330=0,0,IF(AND(OR('Prop challenge'!$D$7="",F330='Prop challenge'!$D$7),OR('Prop challenge'!$D$9="",D330&gt;='Prop challenge'!$D$9)),1,0))</f>
        <v>0</v>
      </c>
      <c r="AV330">
        <f>IF(AU330=1,IF(COUNTIFS($D$5:D330,D330,$AU$5:AU330,1)=1,1,0),0)</f>
        <v>0</v>
      </c>
      <c r="AW330" t="str">
        <f>IF(AV330=1,SUM($AV$5:AV330),"")</f>
        <v/>
      </c>
      <c r="AX330" t="str">
        <f>IF(AV330=1,SUMIFS($R$5:$R$504,$D$5:$D$504,D330,$AU$5:$AU$504,1),"")</f>
        <v/>
      </c>
    </row>
    <row r="331">
      <c r="A331" s="20" t="str">
        <f>IF(AG331=1,ROW()-4,"")</f>
        <v/>
      </c>
      <c r="B331" s="21" t="n"/>
      <c r="C331" s="22" t="n"/>
      <c r="D331" s="21" t="n"/>
      <c r="E331" s="22" t="n"/>
      <c r="F331" s="23" t="n"/>
      <c r="G331" s="23" t="n"/>
      <c r="H331" s="23" t="n"/>
      <c r="I331" s="24" t="n"/>
      <c r="J331" s="25" t="n"/>
      <c r="K331" s="25" t="n"/>
      <c r="L331" s="25" t="n"/>
      <c r="M331" s="25" t="n"/>
      <c r="N331" s="26" t="n"/>
      <c r="O331" s="26" t="n"/>
      <c r="P331" s="27" t="str">
        <f>IF(OR(J331="",K331="",I331="",AF331=0,AD331=""),"",(K331-J331)*AF331*I331*AD331*AE331)</f>
        <v/>
      </c>
      <c r="Q331" s="26" t="n"/>
      <c r="R331" s="28" t="str">
        <f>IF(Q331&lt;&gt;"",Q331,IF(P331="","",P331-N(N331)+N(O331)))</f>
        <v/>
      </c>
      <c r="S331" s="27" t="str">
        <f>IF(OR(L331="",J331="",I331="",AD331=""),"",ABS(J331-L331)*I331*AD331*AE331)</f>
        <v/>
      </c>
      <c r="T331" s="29" t="str">
        <f>IF(OR(R331="",S331="",S331=0),"",R331/S331)</f>
        <v/>
      </c>
      <c r="U331" s="20" t="str">
        <f>IF(R331="","",IF(R331&gt;0,"Ganadora",IF(R331&lt;0,"Perdedora","BE")))</f>
        <v/>
      </c>
      <c r="V331" s="23" t="n"/>
      <c r="W331" s="23" t="n"/>
      <c r="X331" s="23" t="n"/>
      <c r="Y331" s="23" t="n"/>
      <c r="Z331" s="23" t="n"/>
      <c r="AA331" s="23" t="n"/>
      <c r="AB331" s="30" t="n"/>
      <c r="AC331" s="1" t="n"/>
      <c r="AD331" s="1" t="str">
        <f>IF(G331="","",IFERROR(INDEX('Listas'!$N$6:$N$35,MATCH(G331,'Listas'!$M$6:$M$35,0)),""))</f>
        <v/>
      </c>
      <c r="AE331">
        <f>IF(G331="",1,IFERROR(INDEX('Listas'!$P$6:$P$35,MATCH(G331,'Listas'!$M$6:$M$35,0)),1))</f>
        <v>1</v>
      </c>
      <c r="AF331">
        <f>IF(H331="Compra",1,IF(H331="Venta",-1,0))</f>
        <v>0</v>
      </c>
      <c r="AG331">
        <f>IF(AND(D331&lt;&gt;"",ISNUMBER(R331)),1,0)</f>
        <v>0</v>
      </c>
      <c r="AH331">
        <f>IF(AG331=0,0,IF(OR('Panel'!$D$5="Todas las cuentas",'Panel'!$D$5="",F331='Panel'!$D$5),1,0))</f>
        <v>0</v>
      </c>
      <c r="AI331">
        <f>IF(AH331=0,0,IF(AND(OR('Panel'!$G$5="",D331&gt;='Panel'!$G$5),OR('Panel'!$J$5="",D331&lt;='Panel'!$J$5)),1,0))</f>
        <v>0</v>
      </c>
      <c r="AJ331">
        <f>IF(AI331=1,R331,0)</f>
        <v>0</v>
      </c>
      <c r="AK331" t="str">
        <f>IF(AI331=1,'Panel'!$AB$4+SUM($AJ$5:AJ331),"")</f>
        <v/>
      </c>
      <c r="AL331">
        <f>IF(AI331=0,N(AL330),IF(R331&lt;0,N(AL330)+1,0))</f>
        <v>1</v>
      </c>
      <c r="AM331">
        <f>IF(AI331=0,N(AM330),IF(R331&gt;0,N(AM330)+1,0))</f>
        <v>0</v>
      </c>
      <c r="AN331">
        <f>IF(AI331=1,MAX('Panel'!$AB$4,N(AN330),AK331),N(AN330))</f>
        <v>21371.061500000033</v>
      </c>
      <c r="AO331">
        <f>IF(AI331=1,AN331-AK331,0)</f>
        <v>0</v>
      </c>
      <c r="AP331">
        <f>IF(AND(AI331=1,AN331&gt;0),AO331/AN331,0)</f>
        <v>0</v>
      </c>
      <c r="AQ331" t="str">
        <f>IF(AI331=1,SUM($AI$5:AI331),"")</f>
        <v/>
      </c>
      <c r="AR331" t="str">
        <f>IF(AI331=1,IF(COUNTIFS($D$5:D331,D331,$AI$5:AI331,1)=1,SUMIFS($AJ$5:$AJ$504,$D$5:$D$504,D331),""),"")</f>
        <v/>
      </c>
      <c r="AS331" t="str">
        <f>IF(AG331=1,WEEKDAY(D331,2),"")</f>
        <v/>
      </c>
      <c r="AT331" s="31" t="str">
        <f>IF(AG331=1,DATE(YEAR(D331),MONTH(D331),1),"")</f>
        <v/>
      </c>
      <c r="AU331">
        <f>IF(AG331=0,0,IF(AND(OR('Prop challenge'!$D$7="",F331='Prop challenge'!$D$7),OR('Prop challenge'!$D$9="",D331&gt;='Prop challenge'!$D$9)),1,0))</f>
        <v>0</v>
      </c>
      <c r="AV331">
        <f>IF(AU331=1,IF(COUNTIFS($D$5:D331,D331,$AU$5:AU331,1)=1,1,0),0)</f>
        <v>0</v>
      </c>
      <c r="AW331" t="str">
        <f>IF(AV331=1,SUM($AV$5:AV331),"")</f>
        <v/>
      </c>
      <c r="AX331" t="str">
        <f>IF(AV331=1,SUMIFS($R$5:$R$504,$D$5:$D$504,D331,$AU$5:$AU$504,1),"")</f>
        <v/>
      </c>
    </row>
    <row r="332">
      <c r="A332" s="20" t="str">
        <f>IF(AG332=1,ROW()-4,"")</f>
        <v/>
      </c>
      <c r="B332" s="21" t="n"/>
      <c r="C332" s="22" t="n"/>
      <c r="D332" s="21" t="n"/>
      <c r="E332" s="22" t="n"/>
      <c r="F332" s="23" t="n"/>
      <c r="G332" s="23" t="n"/>
      <c r="H332" s="23" t="n"/>
      <c r="I332" s="24" t="n"/>
      <c r="J332" s="25" t="n"/>
      <c r="K332" s="25" t="n"/>
      <c r="L332" s="25" t="n"/>
      <c r="M332" s="25" t="n"/>
      <c r="N332" s="26" t="n"/>
      <c r="O332" s="26" t="n"/>
      <c r="P332" s="27" t="str">
        <f>IF(OR(J332="",K332="",I332="",AF332=0,AD332=""),"",(K332-J332)*AF332*I332*AD332*AE332)</f>
        <v/>
      </c>
      <c r="Q332" s="26" t="n"/>
      <c r="R332" s="28" t="str">
        <f>IF(Q332&lt;&gt;"",Q332,IF(P332="","",P332-N(N332)+N(O332)))</f>
        <v/>
      </c>
      <c r="S332" s="27" t="str">
        <f>IF(OR(L332="",J332="",I332="",AD332=""),"",ABS(J332-L332)*I332*AD332*AE332)</f>
        <v/>
      </c>
      <c r="T332" s="29" t="str">
        <f>IF(OR(R332="",S332="",S332=0),"",R332/S332)</f>
        <v/>
      </c>
      <c r="U332" s="20" t="str">
        <f>IF(R332="","",IF(R332&gt;0,"Ganadora",IF(R332&lt;0,"Perdedora","BE")))</f>
        <v/>
      </c>
      <c r="V332" s="23" t="n"/>
      <c r="W332" s="23" t="n"/>
      <c r="X332" s="23" t="n"/>
      <c r="Y332" s="23" t="n"/>
      <c r="Z332" s="23" t="n"/>
      <c r="AA332" s="23" t="n"/>
      <c r="AB332" s="30" t="n"/>
      <c r="AC332" s="1" t="n"/>
      <c r="AD332" s="1" t="str">
        <f>IF(G332="","",IFERROR(INDEX('Listas'!$N$6:$N$35,MATCH(G332,'Listas'!$M$6:$M$35,0)),""))</f>
        <v/>
      </c>
      <c r="AE332">
        <f>IF(G332="",1,IFERROR(INDEX('Listas'!$P$6:$P$35,MATCH(G332,'Listas'!$M$6:$M$35,0)),1))</f>
        <v>1</v>
      </c>
      <c r="AF332">
        <f>IF(H332="Compra",1,IF(H332="Venta",-1,0))</f>
        <v>0</v>
      </c>
      <c r="AG332">
        <f>IF(AND(D332&lt;&gt;"",ISNUMBER(R332)),1,0)</f>
        <v>0</v>
      </c>
      <c r="AH332">
        <f>IF(AG332=0,0,IF(OR('Panel'!$D$5="Todas las cuentas",'Panel'!$D$5="",F332='Panel'!$D$5),1,0))</f>
        <v>0</v>
      </c>
      <c r="AI332">
        <f>IF(AH332=0,0,IF(AND(OR('Panel'!$G$5="",D332&gt;='Panel'!$G$5),OR('Panel'!$J$5="",D332&lt;='Panel'!$J$5)),1,0))</f>
        <v>0</v>
      </c>
      <c r="AJ332">
        <f>IF(AI332=1,R332,0)</f>
        <v>0</v>
      </c>
      <c r="AK332" t="str">
        <f>IF(AI332=1,'Panel'!$AB$4+SUM($AJ$5:AJ332),"")</f>
        <v/>
      </c>
      <c r="AL332">
        <f>IF(AI332=0,N(AL331),IF(R332&lt;0,N(AL331)+1,0))</f>
        <v>1</v>
      </c>
      <c r="AM332">
        <f>IF(AI332=0,N(AM331),IF(R332&gt;0,N(AM331)+1,0))</f>
        <v>0</v>
      </c>
      <c r="AN332">
        <f>IF(AI332=1,MAX('Panel'!$AB$4,N(AN331),AK332),N(AN331))</f>
        <v>21371.061500000033</v>
      </c>
      <c r="AO332">
        <f>IF(AI332=1,AN332-AK332,0)</f>
        <v>0</v>
      </c>
      <c r="AP332">
        <f>IF(AND(AI332=1,AN332&gt;0),AO332/AN332,0)</f>
        <v>0</v>
      </c>
      <c r="AQ332" t="str">
        <f>IF(AI332=1,SUM($AI$5:AI332),"")</f>
        <v/>
      </c>
      <c r="AR332" t="str">
        <f>IF(AI332=1,IF(COUNTIFS($D$5:D332,D332,$AI$5:AI332,1)=1,SUMIFS($AJ$5:$AJ$504,$D$5:$D$504,D332),""),"")</f>
        <v/>
      </c>
      <c r="AS332" t="str">
        <f>IF(AG332=1,WEEKDAY(D332,2),"")</f>
        <v/>
      </c>
      <c r="AT332" s="31" t="str">
        <f>IF(AG332=1,DATE(YEAR(D332),MONTH(D332),1),"")</f>
        <v/>
      </c>
      <c r="AU332">
        <f>IF(AG332=0,0,IF(AND(OR('Prop challenge'!$D$7="",F332='Prop challenge'!$D$7),OR('Prop challenge'!$D$9="",D332&gt;='Prop challenge'!$D$9)),1,0))</f>
        <v>0</v>
      </c>
      <c r="AV332">
        <f>IF(AU332=1,IF(COUNTIFS($D$5:D332,D332,$AU$5:AU332,1)=1,1,0),0)</f>
        <v>0</v>
      </c>
      <c r="AW332" t="str">
        <f>IF(AV332=1,SUM($AV$5:AV332),"")</f>
        <v/>
      </c>
      <c r="AX332" t="str">
        <f>IF(AV332=1,SUMIFS($R$5:$R$504,$D$5:$D$504,D332,$AU$5:$AU$504,1),"")</f>
        <v/>
      </c>
    </row>
    <row r="333">
      <c r="A333" s="20" t="str">
        <f>IF(AG333=1,ROW()-4,"")</f>
        <v/>
      </c>
      <c r="B333" s="21" t="n"/>
      <c r="C333" s="22" t="n"/>
      <c r="D333" s="21" t="n"/>
      <c r="E333" s="22" t="n"/>
      <c r="F333" s="23" t="n"/>
      <c r="G333" s="23" t="n"/>
      <c r="H333" s="23" t="n"/>
      <c r="I333" s="24" t="n"/>
      <c r="J333" s="25" t="n"/>
      <c r="K333" s="25" t="n"/>
      <c r="L333" s="25" t="n"/>
      <c r="M333" s="25" t="n"/>
      <c r="N333" s="26" t="n"/>
      <c r="O333" s="26" t="n"/>
      <c r="P333" s="27" t="str">
        <f>IF(OR(J333="",K333="",I333="",AF333=0,AD333=""),"",(K333-J333)*AF333*I333*AD333*AE333)</f>
        <v/>
      </c>
      <c r="Q333" s="26" t="n"/>
      <c r="R333" s="28" t="str">
        <f>IF(Q333&lt;&gt;"",Q333,IF(P333="","",P333-N(N333)+N(O333)))</f>
        <v/>
      </c>
      <c r="S333" s="27" t="str">
        <f>IF(OR(L333="",J333="",I333="",AD333=""),"",ABS(J333-L333)*I333*AD333*AE333)</f>
        <v/>
      </c>
      <c r="T333" s="29" t="str">
        <f>IF(OR(R333="",S333="",S333=0),"",R333/S333)</f>
        <v/>
      </c>
      <c r="U333" s="20" t="str">
        <f>IF(R333="","",IF(R333&gt;0,"Ganadora",IF(R333&lt;0,"Perdedora","BE")))</f>
        <v/>
      </c>
      <c r="V333" s="23" t="n"/>
      <c r="W333" s="23" t="n"/>
      <c r="X333" s="23" t="n"/>
      <c r="Y333" s="23" t="n"/>
      <c r="Z333" s="23" t="n"/>
      <c r="AA333" s="23" t="n"/>
      <c r="AB333" s="30" t="n"/>
      <c r="AC333" s="1" t="n"/>
      <c r="AD333" s="1" t="str">
        <f>IF(G333="","",IFERROR(INDEX('Listas'!$N$6:$N$35,MATCH(G333,'Listas'!$M$6:$M$35,0)),""))</f>
        <v/>
      </c>
      <c r="AE333">
        <f>IF(G333="",1,IFERROR(INDEX('Listas'!$P$6:$P$35,MATCH(G333,'Listas'!$M$6:$M$35,0)),1))</f>
        <v>1</v>
      </c>
      <c r="AF333">
        <f>IF(H333="Compra",1,IF(H333="Venta",-1,0))</f>
        <v>0</v>
      </c>
      <c r="AG333">
        <f>IF(AND(D333&lt;&gt;"",ISNUMBER(R333)),1,0)</f>
        <v>0</v>
      </c>
      <c r="AH333">
        <f>IF(AG333=0,0,IF(OR('Panel'!$D$5="Todas las cuentas",'Panel'!$D$5="",F333='Panel'!$D$5),1,0))</f>
        <v>0</v>
      </c>
      <c r="AI333">
        <f>IF(AH333=0,0,IF(AND(OR('Panel'!$G$5="",D333&gt;='Panel'!$G$5),OR('Panel'!$J$5="",D333&lt;='Panel'!$J$5)),1,0))</f>
        <v>0</v>
      </c>
      <c r="AJ333">
        <f>IF(AI333=1,R333,0)</f>
        <v>0</v>
      </c>
      <c r="AK333" t="str">
        <f>IF(AI333=1,'Panel'!$AB$4+SUM($AJ$5:AJ333),"")</f>
        <v/>
      </c>
      <c r="AL333">
        <f>IF(AI333=0,N(AL332),IF(R333&lt;0,N(AL332)+1,0))</f>
        <v>1</v>
      </c>
      <c r="AM333">
        <f>IF(AI333=0,N(AM332),IF(R333&gt;0,N(AM332)+1,0))</f>
        <v>0</v>
      </c>
      <c r="AN333">
        <f>IF(AI333=1,MAX('Panel'!$AB$4,N(AN332),AK333),N(AN332))</f>
        <v>21371.061500000033</v>
      </c>
      <c r="AO333">
        <f>IF(AI333=1,AN333-AK333,0)</f>
        <v>0</v>
      </c>
      <c r="AP333">
        <f>IF(AND(AI333=1,AN333&gt;0),AO333/AN333,0)</f>
        <v>0</v>
      </c>
      <c r="AQ333" t="str">
        <f>IF(AI333=1,SUM($AI$5:AI333),"")</f>
        <v/>
      </c>
      <c r="AR333" t="str">
        <f>IF(AI333=1,IF(COUNTIFS($D$5:D333,D333,$AI$5:AI333,1)=1,SUMIFS($AJ$5:$AJ$504,$D$5:$D$504,D333),""),"")</f>
        <v/>
      </c>
      <c r="AS333" t="str">
        <f>IF(AG333=1,WEEKDAY(D333,2),"")</f>
        <v/>
      </c>
      <c r="AT333" s="31" t="str">
        <f>IF(AG333=1,DATE(YEAR(D333),MONTH(D333),1),"")</f>
        <v/>
      </c>
      <c r="AU333">
        <f>IF(AG333=0,0,IF(AND(OR('Prop challenge'!$D$7="",F333='Prop challenge'!$D$7),OR('Prop challenge'!$D$9="",D333&gt;='Prop challenge'!$D$9)),1,0))</f>
        <v>0</v>
      </c>
      <c r="AV333">
        <f>IF(AU333=1,IF(COUNTIFS($D$5:D333,D333,$AU$5:AU333,1)=1,1,0),0)</f>
        <v>0</v>
      </c>
      <c r="AW333" t="str">
        <f>IF(AV333=1,SUM($AV$5:AV333),"")</f>
        <v/>
      </c>
      <c r="AX333" t="str">
        <f>IF(AV333=1,SUMIFS($R$5:$R$504,$D$5:$D$504,D333,$AU$5:$AU$504,1),"")</f>
        <v/>
      </c>
    </row>
    <row r="334">
      <c r="A334" s="20" t="str">
        <f>IF(AG334=1,ROW()-4,"")</f>
        <v/>
      </c>
      <c r="B334" s="21" t="n"/>
      <c r="C334" s="22" t="n"/>
      <c r="D334" s="21" t="n"/>
      <c r="E334" s="22" t="n"/>
      <c r="F334" s="23" t="n"/>
      <c r="G334" s="23" t="n"/>
      <c r="H334" s="23" t="n"/>
      <c r="I334" s="24" t="n"/>
      <c r="J334" s="25" t="n"/>
      <c r="K334" s="25" t="n"/>
      <c r="L334" s="25" t="n"/>
      <c r="M334" s="25" t="n"/>
      <c r="N334" s="26" t="n"/>
      <c r="O334" s="26" t="n"/>
      <c r="P334" s="27" t="str">
        <f>IF(OR(J334="",K334="",I334="",AF334=0,AD334=""),"",(K334-J334)*AF334*I334*AD334*AE334)</f>
        <v/>
      </c>
      <c r="Q334" s="26" t="n"/>
      <c r="R334" s="28" t="str">
        <f>IF(Q334&lt;&gt;"",Q334,IF(P334="","",P334-N(N334)+N(O334)))</f>
        <v/>
      </c>
      <c r="S334" s="27" t="str">
        <f>IF(OR(L334="",J334="",I334="",AD334=""),"",ABS(J334-L334)*I334*AD334*AE334)</f>
        <v/>
      </c>
      <c r="T334" s="29" t="str">
        <f>IF(OR(R334="",S334="",S334=0),"",R334/S334)</f>
        <v/>
      </c>
      <c r="U334" s="20" t="str">
        <f>IF(R334="","",IF(R334&gt;0,"Ganadora",IF(R334&lt;0,"Perdedora","BE")))</f>
        <v/>
      </c>
      <c r="V334" s="23" t="n"/>
      <c r="W334" s="23" t="n"/>
      <c r="X334" s="23" t="n"/>
      <c r="Y334" s="23" t="n"/>
      <c r="Z334" s="23" t="n"/>
      <c r="AA334" s="23" t="n"/>
      <c r="AB334" s="30" t="n"/>
      <c r="AC334" s="1" t="n"/>
      <c r="AD334" s="1" t="str">
        <f>IF(G334="","",IFERROR(INDEX('Listas'!$N$6:$N$35,MATCH(G334,'Listas'!$M$6:$M$35,0)),""))</f>
        <v/>
      </c>
      <c r="AE334">
        <f>IF(G334="",1,IFERROR(INDEX('Listas'!$P$6:$P$35,MATCH(G334,'Listas'!$M$6:$M$35,0)),1))</f>
        <v>1</v>
      </c>
      <c r="AF334">
        <f>IF(H334="Compra",1,IF(H334="Venta",-1,0))</f>
        <v>0</v>
      </c>
      <c r="AG334">
        <f>IF(AND(D334&lt;&gt;"",ISNUMBER(R334)),1,0)</f>
        <v>0</v>
      </c>
      <c r="AH334">
        <f>IF(AG334=0,0,IF(OR('Panel'!$D$5="Todas las cuentas",'Panel'!$D$5="",F334='Panel'!$D$5),1,0))</f>
        <v>0</v>
      </c>
      <c r="AI334">
        <f>IF(AH334=0,0,IF(AND(OR('Panel'!$G$5="",D334&gt;='Panel'!$G$5),OR('Panel'!$J$5="",D334&lt;='Panel'!$J$5)),1,0))</f>
        <v>0</v>
      </c>
      <c r="AJ334">
        <f>IF(AI334=1,R334,0)</f>
        <v>0</v>
      </c>
      <c r="AK334" t="str">
        <f>IF(AI334=1,'Panel'!$AB$4+SUM($AJ$5:AJ334),"")</f>
        <v/>
      </c>
      <c r="AL334">
        <f>IF(AI334=0,N(AL333),IF(R334&lt;0,N(AL333)+1,0))</f>
        <v>1</v>
      </c>
      <c r="AM334">
        <f>IF(AI334=0,N(AM333),IF(R334&gt;0,N(AM333)+1,0))</f>
        <v>0</v>
      </c>
      <c r="AN334">
        <f>IF(AI334=1,MAX('Panel'!$AB$4,N(AN333),AK334),N(AN333))</f>
        <v>21371.061500000033</v>
      </c>
      <c r="AO334">
        <f>IF(AI334=1,AN334-AK334,0)</f>
        <v>0</v>
      </c>
      <c r="AP334">
        <f>IF(AND(AI334=1,AN334&gt;0),AO334/AN334,0)</f>
        <v>0</v>
      </c>
      <c r="AQ334" t="str">
        <f>IF(AI334=1,SUM($AI$5:AI334),"")</f>
        <v/>
      </c>
      <c r="AR334" t="str">
        <f>IF(AI334=1,IF(COUNTIFS($D$5:D334,D334,$AI$5:AI334,1)=1,SUMIFS($AJ$5:$AJ$504,$D$5:$D$504,D334),""),"")</f>
        <v/>
      </c>
      <c r="AS334" t="str">
        <f>IF(AG334=1,WEEKDAY(D334,2),"")</f>
        <v/>
      </c>
      <c r="AT334" s="31" t="str">
        <f>IF(AG334=1,DATE(YEAR(D334),MONTH(D334),1),"")</f>
        <v/>
      </c>
      <c r="AU334">
        <f>IF(AG334=0,0,IF(AND(OR('Prop challenge'!$D$7="",F334='Prop challenge'!$D$7),OR('Prop challenge'!$D$9="",D334&gt;='Prop challenge'!$D$9)),1,0))</f>
        <v>0</v>
      </c>
      <c r="AV334">
        <f>IF(AU334=1,IF(COUNTIFS($D$5:D334,D334,$AU$5:AU334,1)=1,1,0),0)</f>
        <v>0</v>
      </c>
      <c r="AW334" t="str">
        <f>IF(AV334=1,SUM($AV$5:AV334),"")</f>
        <v/>
      </c>
      <c r="AX334" t="str">
        <f>IF(AV334=1,SUMIFS($R$5:$R$504,$D$5:$D$504,D334,$AU$5:$AU$504,1),"")</f>
        <v/>
      </c>
    </row>
    <row r="335">
      <c r="A335" s="20" t="str">
        <f>IF(AG335=1,ROW()-4,"")</f>
        <v/>
      </c>
      <c r="B335" s="21" t="n"/>
      <c r="C335" s="22" t="n"/>
      <c r="D335" s="21" t="n"/>
      <c r="E335" s="22" t="n"/>
      <c r="F335" s="23" t="n"/>
      <c r="G335" s="23" t="n"/>
      <c r="H335" s="23" t="n"/>
      <c r="I335" s="24" t="n"/>
      <c r="J335" s="25" t="n"/>
      <c r="K335" s="25" t="n"/>
      <c r="L335" s="25" t="n"/>
      <c r="M335" s="25" t="n"/>
      <c r="N335" s="26" t="n"/>
      <c r="O335" s="26" t="n"/>
      <c r="P335" s="27" t="str">
        <f>IF(OR(J335="",K335="",I335="",AF335=0,AD335=""),"",(K335-J335)*AF335*I335*AD335*AE335)</f>
        <v/>
      </c>
      <c r="Q335" s="26" t="n"/>
      <c r="R335" s="28" t="str">
        <f>IF(Q335&lt;&gt;"",Q335,IF(P335="","",P335-N(N335)+N(O335)))</f>
        <v/>
      </c>
      <c r="S335" s="27" t="str">
        <f>IF(OR(L335="",J335="",I335="",AD335=""),"",ABS(J335-L335)*I335*AD335*AE335)</f>
        <v/>
      </c>
      <c r="T335" s="29" t="str">
        <f>IF(OR(R335="",S335="",S335=0),"",R335/S335)</f>
        <v/>
      </c>
      <c r="U335" s="20" t="str">
        <f>IF(R335="","",IF(R335&gt;0,"Ganadora",IF(R335&lt;0,"Perdedora","BE")))</f>
        <v/>
      </c>
      <c r="V335" s="23" t="n"/>
      <c r="W335" s="23" t="n"/>
      <c r="X335" s="23" t="n"/>
      <c r="Y335" s="23" t="n"/>
      <c r="Z335" s="23" t="n"/>
      <c r="AA335" s="23" t="n"/>
      <c r="AB335" s="30" t="n"/>
      <c r="AC335" s="1" t="n"/>
      <c r="AD335" s="1" t="str">
        <f>IF(G335="","",IFERROR(INDEX('Listas'!$N$6:$N$35,MATCH(G335,'Listas'!$M$6:$M$35,0)),""))</f>
        <v/>
      </c>
      <c r="AE335">
        <f>IF(G335="",1,IFERROR(INDEX('Listas'!$P$6:$P$35,MATCH(G335,'Listas'!$M$6:$M$35,0)),1))</f>
        <v>1</v>
      </c>
      <c r="AF335">
        <f>IF(H335="Compra",1,IF(H335="Venta",-1,0))</f>
        <v>0</v>
      </c>
      <c r="AG335">
        <f>IF(AND(D335&lt;&gt;"",ISNUMBER(R335)),1,0)</f>
        <v>0</v>
      </c>
      <c r="AH335">
        <f>IF(AG335=0,0,IF(OR('Panel'!$D$5="Todas las cuentas",'Panel'!$D$5="",F335='Panel'!$D$5),1,0))</f>
        <v>0</v>
      </c>
      <c r="AI335">
        <f>IF(AH335=0,0,IF(AND(OR('Panel'!$G$5="",D335&gt;='Panel'!$G$5),OR('Panel'!$J$5="",D335&lt;='Panel'!$J$5)),1,0))</f>
        <v>0</v>
      </c>
      <c r="AJ335">
        <f>IF(AI335=1,R335,0)</f>
        <v>0</v>
      </c>
      <c r="AK335" t="str">
        <f>IF(AI335=1,'Panel'!$AB$4+SUM($AJ$5:AJ335),"")</f>
        <v/>
      </c>
      <c r="AL335">
        <f>IF(AI335=0,N(AL334),IF(R335&lt;0,N(AL334)+1,0))</f>
        <v>1</v>
      </c>
      <c r="AM335">
        <f>IF(AI335=0,N(AM334),IF(R335&gt;0,N(AM334)+1,0))</f>
        <v>0</v>
      </c>
      <c r="AN335">
        <f>IF(AI335=1,MAX('Panel'!$AB$4,N(AN334),AK335),N(AN334))</f>
        <v>21371.061500000033</v>
      </c>
      <c r="AO335">
        <f>IF(AI335=1,AN335-AK335,0)</f>
        <v>0</v>
      </c>
      <c r="AP335">
        <f>IF(AND(AI335=1,AN335&gt;0),AO335/AN335,0)</f>
        <v>0</v>
      </c>
      <c r="AQ335" t="str">
        <f>IF(AI335=1,SUM($AI$5:AI335),"")</f>
        <v/>
      </c>
      <c r="AR335" t="str">
        <f>IF(AI335=1,IF(COUNTIFS($D$5:D335,D335,$AI$5:AI335,1)=1,SUMIFS($AJ$5:$AJ$504,$D$5:$D$504,D335),""),"")</f>
        <v/>
      </c>
      <c r="AS335" t="str">
        <f>IF(AG335=1,WEEKDAY(D335,2),"")</f>
        <v/>
      </c>
      <c r="AT335" s="31" t="str">
        <f>IF(AG335=1,DATE(YEAR(D335),MONTH(D335),1),"")</f>
        <v/>
      </c>
      <c r="AU335">
        <f>IF(AG335=0,0,IF(AND(OR('Prop challenge'!$D$7="",F335='Prop challenge'!$D$7),OR('Prop challenge'!$D$9="",D335&gt;='Prop challenge'!$D$9)),1,0))</f>
        <v>0</v>
      </c>
      <c r="AV335">
        <f>IF(AU335=1,IF(COUNTIFS($D$5:D335,D335,$AU$5:AU335,1)=1,1,0),0)</f>
        <v>0</v>
      </c>
      <c r="AW335" t="str">
        <f>IF(AV335=1,SUM($AV$5:AV335),"")</f>
        <v/>
      </c>
      <c r="AX335" t="str">
        <f>IF(AV335=1,SUMIFS($R$5:$R$504,$D$5:$D$504,D335,$AU$5:$AU$504,1),"")</f>
        <v/>
      </c>
    </row>
    <row r="336">
      <c r="A336" s="20" t="str">
        <f>IF(AG336=1,ROW()-4,"")</f>
        <v/>
      </c>
      <c r="B336" s="21" t="n"/>
      <c r="C336" s="22" t="n"/>
      <c r="D336" s="21" t="n"/>
      <c r="E336" s="22" t="n"/>
      <c r="F336" s="23" t="n"/>
      <c r="G336" s="23" t="n"/>
      <c r="H336" s="23" t="n"/>
      <c r="I336" s="24" t="n"/>
      <c r="J336" s="25" t="n"/>
      <c r="K336" s="25" t="n"/>
      <c r="L336" s="25" t="n"/>
      <c r="M336" s="25" t="n"/>
      <c r="N336" s="26" t="n"/>
      <c r="O336" s="26" t="n"/>
      <c r="P336" s="27" t="str">
        <f>IF(OR(J336="",K336="",I336="",AF336=0,AD336=""),"",(K336-J336)*AF336*I336*AD336*AE336)</f>
        <v/>
      </c>
      <c r="Q336" s="26" t="n"/>
      <c r="R336" s="28" t="str">
        <f>IF(Q336&lt;&gt;"",Q336,IF(P336="","",P336-N(N336)+N(O336)))</f>
        <v/>
      </c>
      <c r="S336" s="27" t="str">
        <f>IF(OR(L336="",J336="",I336="",AD336=""),"",ABS(J336-L336)*I336*AD336*AE336)</f>
        <v/>
      </c>
      <c r="T336" s="29" t="str">
        <f>IF(OR(R336="",S336="",S336=0),"",R336/S336)</f>
        <v/>
      </c>
      <c r="U336" s="20" t="str">
        <f>IF(R336="","",IF(R336&gt;0,"Ganadora",IF(R336&lt;0,"Perdedora","BE")))</f>
        <v/>
      </c>
      <c r="V336" s="23" t="n"/>
      <c r="W336" s="23" t="n"/>
      <c r="X336" s="23" t="n"/>
      <c r="Y336" s="23" t="n"/>
      <c r="Z336" s="23" t="n"/>
      <c r="AA336" s="23" t="n"/>
      <c r="AB336" s="30" t="n"/>
      <c r="AC336" s="1" t="n"/>
      <c r="AD336" s="1" t="str">
        <f>IF(G336="","",IFERROR(INDEX('Listas'!$N$6:$N$35,MATCH(G336,'Listas'!$M$6:$M$35,0)),""))</f>
        <v/>
      </c>
      <c r="AE336">
        <f>IF(G336="",1,IFERROR(INDEX('Listas'!$P$6:$P$35,MATCH(G336,'Listas'!$M$6:$M$35,0)),1))</f>
        <v>1</v>
      </c>
      <c r="AF336">
        <f>IF(H336="Compra",1,IF(H336="Venta",-1,0))</f>
        <v>0</v>
      </c>
      <c r="AG336">
        <f>IF(AND(D336&lt;&gt;"",ISNUMBER(R336)),1,0)</f>
        <v>0</v>
      </c>
      <c r="AH336">
        <f>IF(AG336=0,0,IF(OR('Panel'!$D$5="Todas las cuentas",'Panel'!$D$5="",F336='Panel'!$D$5),1,0))</f>
        <v>0</v>
      </c>
      <c r="AI336">
        <f>IF(AH336=0,0,IF(AND(OR('Panel'!$G$5="",D336&gt;='Panel'!$G$5),OR('Panel'!$J$5="",D336&lt;='Panel'!$J$5)),1,0))</f>
        <v>0</v>
      </c>
      <c r="AJ336">
        <f>IF(AI336=1,R336,0)</f>
        <v>0</v>
      </c>
      <c r="AK336" t="str">
        <f>IF(AI336=1,'Panel'!$AB$4+SUM($AJ$5:AJ336),"")</f>
        <v/>
      </c>
      <c r="AL336">
        <f>IF(AI336=0,N(AL335),IF(R336&lt;0,N(AL335)+1,0))</f>
        <v>1</v>
      </c>
      <c r="AM336">
        <f>IF(AI336=0,N(AM335),IF(R336&gt;0,N(AM335)+1,0))</f>
        <v>0</v>
      </c>
      <c r="AN336">
        <f>IF(AI336=1,MAX('Panel'!$AB$4,N(AN335),AK336),N(AN335))</f>
        <v>21371.061500000033</v>
      </c>
      <c r="AO336">
        <f>IF(AI336=1,AN336-AK336,0)</f>
        <v>0</v>
      </c>
      <c r="AP336">
        <f>IF(AND(AI336=1,AN336&gt;0),AO336/AN336,0)</f>
        <v>0</v>
      </c>
      <c r="AQ336" t="str">
        <f>IF(AI336=1,SUM($AI$5:AI336),"")</f>
        <v/>
      </c>
      <c r="AR336" t="str">
        <f>IF(AI336=1,IF(COUNTIFS($D$5:D336,D336,$AI$5:AI336,1)=1,SUMIFS($AJ$5:$AJ$504,$D$5:$D$504,D336),""),"")</f>
        <v/>
      </c>
      <c r="AS336" t="str">
        <f>IF(AG336=1,WEEKDAY(D336,2),"")</f>
        <v/>
      </c>
      <c r="AT336" s="31" t="str">
        <f>IF(AG336=1,DATE(YEAR(D336),MONTH(D336),1),"")</f>
        <v/>
      </c>
      <c r="AU336">
        <f>IF(AG336=0,0,IF(AND(OR('Prop challenge'!$D$7="",F336='Prop challenge'!$D$7),OR('Prop challenge'!$D$9="",D336&gt;='Prop challenge'!$D$9)),1,0))</f>
        <v>0</v>
      </c>
      <c r="AV336">
        <f>IF(AU336=1,IF(COUNTIFS($D$5:D336,D336,$AU$5:AU336,1)=1,1,0),0)</f>
        <v>0</v>
      </c>
      <c r="AW336" t="str">
        <f>IF(AV336=1,SUM($AV$5:AV336),"")</f>
        <v/>
      </c>
      <c r="AX336" t="str">
        <f>IF(AV336=1,SUMIFS($R$5:$R$504,$D$5:$D$504,D336,$AU$5:$AU$504,1),"")</f>
        <v/>
      </c>
    </row>
    <row r="337">
      <c r="A337" s="20" t="str">
        <f>IF(AG337=1,ROW()-4,"")</f>
        <v/>
      </c>
      <c r="B337" s="21" t="n"/>
      <c r="C337" s="22" t="n"/>
      <c r="D337" s="21" t="n"/>
      <c r="E337" s="22" t="n"/>
      <c r="F337" s="23" t="n"/>
      <c r="G337" s="23" t="n"/>
      <c r="H337" s="23" t="n"/>
      <c r="I337" s="24" t="n"/>
      <c r="J337" s="25" t="n"/>
      <c r="K337" s="25" t="n"/>
      <c r="L337" s="25" t="n"/>
      <c r="M337" s="25" t="n"/>
      <c r="N337" s="26" t="n"/>
      <c r="O337" s="26" t="n"/>
      <c r="P337" s="27" t="str">
        <f>IF(OR(J337="",K337="",I337="",AF337=0,AD337=""),"",(K337-J337)*AF337*I337*AD337*AE337)</f>
        <v/>
      </c>
      <c r="Q337" s="26" t="n"/>
      <c r="R337" s="28" t="str">
        <f>IF(Q337&lt;&gt;"",Q337,IF(P337="","",P337-N(N337)+N(O337)))</f>
        <v/>
      </c>
      <c r="S337" s="27" t="str">
        <f>IF(OR(L337="",J337="",I337="",AD337=""),"",ABS(J337-L337)*I337*AD337*AE337)</f>
        <v/>
      </c>
      <c r="T337" s="29" t="str">
        <f>IF(OR(R337="",S337="",S337=0),"",R337/S337)</f>
        <v/>
      </c>
      <c r="U337" s="20" t="str">
        <f>IF(R337="","",IF(R337&gt;0,"Ganadora",IF(R337&lt;0,"Perdedora","BE")))</f>
        <v/>
      </c>
      <c r="V337" s="23" t="n"/>
      <c r="W337" s="23" t="n"/>
      <c r="X337" s="23" t="n"/>
      <c r="Y337" s="23" t="n"/>
      <c r="Z337" s="23" t="n"/>
      <c r="AA337" s="23" t="n"/>
      <c r="AB337" s="30" t="n"/>
      <c r="AC337" s="1" t="n"/>
      <c r="AD337" s="1" t="str">
        <f>IF(G337="","",IFERROR(INDEX('Listas'!$N$6:$N$35,MATCH(G337,'Listas'!$M$6:$M$35,0)),""))</f>
        <v/>
      </c>
      <c r="AE337">
        <f>IF(G337="",1,IFERROR(INDEX('Listas'!$P$6:$P$35,MATCH(G337,'Listas'!$M$6:$M$35,0)),1))</f>
        <v>1</v>
      </c>
      <c r="AF337">
        <f>IF(H337="Compra",1,IF(H337="Venta",-1,0))</f>
        <v>0</v>
      </c>
      <c r="AG337">
        <f>IF(AND(D337&lt;&gt;"",ISNUMBER(R337)),1,0)</f>
        <v>0</v>
      </c>
      <c r="AH337">
        <f>IF(AG337=0,0,IF(OR('Panel'!$D$5="Todas las cuentas",'Panel'!$D$5="",F337='Panel'!$D$5),1,0))</f>
        <v>0</v>
      </c>
      <c r="AI337">
        <f>IF(AH337=0,0,IF(AND(OR('Panel'!$G$5="",D337&gt;='Panel'!$G$5),OR('Panel'!$J$5="",D337&lt;='Panel'!$J$5)),1,0))</f>
        <v>0</v>
      </c>
      <c r="AJ337">
        <f>IF(AI337=1,R337,0)</f>
        <v>0</v>
      </c>
      <c r="AK337" t="str">
        <f>IF(AI337=1,'Panel'!$AB$4+SUM($AJ$5:AJ337),"")</f>
        <v/>
      </c>
      <c r="AL337">
        <f>IF(AI337=0,N(AL336),IF(R337&lt;0,N(AL336)+1,0))</f>
        <v>1</v>
      </c>
      <c r="AM337">
        <f>IF(AI337=0,N(AM336),IF(R337&gt;0,N(AM336)+1,0))</f>
        <v>0</v>
      </c>
      <c r="AN337">
        <f>IF(AI337=1,MAX('Panel'!$AB$4,N(AN336),AK337),N(AN336))</f>
        <v>21371.061500000033</v>
      </c>
      <c r="AO337">
        <f>IF(AI337=1,AN337-AK337,0)</f>
        <v>0</v>
      </c>
      <c r="AP337">
        <f>IF(AND(AI337=1,AN337&gt;0),AO337/AN337,0)</f>
        <v>0</v>
      </c>
      <c r="AQ337" t="str">
        <f>IF(AI337=1,SUM($AI$5:AI337),"")</f>
        <v/>
      </c>
      <c r="AR337" t="str">
        <f>IF(AI337=1,IF(COUNTIFS($D$5:D337,D337,$AI$5:AI337,1)=1,SUMIFS($AJ$5:$AJ$504,$D$5:$D$504,D337),""),"")</f>
        <v/>
      </c>
      <c r="AS337" t="str">
        <f>IF(AG337=1,WEEKDAY(D337,2),"")</f>
        <v/>
      </c>
      <c r="AT337" s="31" t="str">
        <f>IF(AG337=1,DATE(YEAR(D337),MONTH(D337),1),"")</f>
        <v/>
      </c>
      <c r="AU337">
        <f>IF(AG337=0,0,IF(AND(OR('Prop challenge'!$D$7="",F337='Prop challenge'!$D$7),OR('Prop challenge'!$D$9="",D337&gt;='Prop challenge'!$D$9)),1,0))</f>
        <v>0</v>
      </c>
      <c r="AV337">
        <f>IF(AU337=1,IF(COUNTIFS($D$5:D337,D337,$AU$5:AU337,1)=1,1,0),0)</f>
        <v>0</v>
      </c>
      <c r="AW337" t="str">
        <f>IF(AV337=1,SUM($AV$5:AV337),"")</f>
        <v/>
      </c>
      <c r="AX337" t="str">
        <f>IF(AV337=1,SUMIFS($R$5:$R$504,$D$5:$D$504,D337,$AU$5:$AU$504,1),"")</f>
        <v/>
      </c>
    </row>
    <row r="338">
      <c r="A338" s="20" t="str">
        <f>IF(AG338=1,ROW()-4,"")</f>
        <v/>
      </c>
      <c r="B338" s="21" t="n"/>
      <c r="C338" s="22" t="n"/>
      <c r="D338" s="21" t="n"/>
      <c r="E338" s="22" t="n"/>
      <c r="F338" s="23" t="n"/>
      <c r="G338" s="23" t="n"/>
      <c r="H338" s="23" t="n"/>
      <c r="I338" s="24" t="n"/>
      <c r="J338" s="25" t="n"/>
      <c r="K338" s="25" t="n"/>
      <c r="L338" s="25" t="n"/>
      <c r="M338" s="25" t="n"/>
      <c r="N338" s="26" t="n"/>
      <c r="O338" s="26" t="n"/>
      <c r="P338" s="27" t="str">
        <f>IF(OR(J338="",K338="",I338="",AF338=0,AD338=""),"",(K338-J338)*AF338*I338*AD338*AE338)</f>
        <v/>
      </c>
      <c r="Q338" s="26" t="n"/>
      <c r="R338" s="28" t="str">
        <f>IF(Q338&lt;&gt;"",Q338,IF(P338="","",P338-N(N338)+N(O338)))</f>
        <v/>
      </c>
      <c r="S338" s="27" t="str">
        <f>IF(OR(L338="",J338="",I338="",AD338=""),"",ABS(J338-L338)*I338*AD338*AE338)</f>
        <v/>
      </c>
      <c r="T338" s="29" t="str">
        <f>IF(OR(R338="",S338="",S338=0),"",R338/S338)</f>
        <v/>
      </c>
      <c r="U338" s="20" t="str">
        <f>IF(R338="","",IF(R338&gt;0,"Ganadora",IF(R338&lt;0,"Perdedora","BE")))</f>
        <v/>
      </c>
      <c r="V338" s="23" t="n"/>
      <c r="W338" s="23" t="n"/>
      <c r="X338" s="23" t="n"/>
      <c r="Y338" s="23" t="n"/>
      <c r="Z338" s="23" t="n"/>
      <c r="AA338" s="23" t="n"/>
      <c r="AB338" s="30" t="n"/>
      <c r="AC338" s="1" t="n"/>
      <c r="AD338" s="1" t="str">
        <f>IF(G338="","",IFERROR(INDEX('Listas'!$N$6:$N$35,MATCH(G338,'Listas'!$M$6:$M$35,0)),""))</f>
        <v/>
      </c>
      <c r="AE338">
        <f>IF(G338="",1,IFERROR(INDEX('Listas'!$P$6:$P$35,MATCH(G338,'Listas'!$M$6:$M$35,0)),1))</f>
        <v>1</v>
      </c>
      <c r="AF338">
        <f>IF(H338="Compra",1,IF(H338="Venta",-1,0))</f>
        <v>0</v>
      </c>
      <c r="AG338">
        <f>IF(AND(D338&lt;&gt;"",ISNUMBER(R338)),1,0)</f>
        <v>0</v>
      </c>
      <c r="AH338">
        <f>IF(AG338=0,0,IF(OR('Panel'!$D$5="Todas las cuentas",'Panel'!$D$5="",F338='Panel'!$D$5),1,0))</f>
        <v>0</v>
      </c>
      <c r="AI338">
        <f>IF(AH338=0,0,IF(AND(OR('Panel'!$G$5="",D338&gt;='Panel'!$G$5),OR('Panel'!$J$5="",D338&lt;='Panel'!$J$5)),1,0))</f>
        <v>0</v>
      </c>
      <c r="AJ338">
        <f>IF(AI338=1,R338,0)</f>
        <v>0</v>
      </c>
      <c r="AK338" t="str">
        <f>IF(AI338=1,'Panel'!$AB$4+SUM($AJ$5:AJ338),"")</f>
        <v/>
      </c>
      <c r="AL338">
        <f>IF(AI338=0,N(AL337),IF(R338&lt;0,N(AL337)+1,0))</f>
        <v>1</v>
      </c>
      <c r="AM338">
        <f>IF(AI338=0,N(AM337),IF(R338&gt;0,N(AM337)+1,0))</f>
        <v>0</v>
      </c>
      <c r="AN338">
        <f>IF(AI338=1,MAX('Panel'!$AB$4,N(AN337),AK338),N(AN337))</f>
        <v>21371.061500000033</v>
      </c>
      <c r="AO338">
        <f>IF(AI338=1,AN338-AK338,0)</f>
        <v>0</v>
      </c>
      <c r="AP338">
        <f>IF(AND(AI338=1,AN338&gt;0),AO338/AN338,0)</f>
        <v>0</v>
      </c>
      <c r="AQ338" t="str">
        <f>IF(AI338=1,SUM($AI$5:AI338),"")</f>
        <v/>
      </c>
      <c r="AR338" t="str">
        <f>IF(AI338=1,IF(COUNTIFS($D$5:D338,D338,$AI$5:AI338,1)=1,SUMIFS($AJ$5:$AJ$504,$D$5:$D$504,D338),""),"")</f>
        <v/>
      </c>
      <c r="AS338" t="str">
        <f>IF(AG338=1,WEEKDAY(D338,2),"")</f>
        <v/>
      </c>
      <c r="AT338" s="31" t="str">
        <f>IF(AG338=1,DATE(YEAR(D338),MONTH(D338),1),"")</f>
        <v/>
      </c>
      <c r="AU338">
        <f>IF(AG338=0,0,IF(AND(OR('Prop challenge'!$D$7="",F338='Prop challenge'!$D$7),OR('Prop challenge'!$D$9="",D338&gt;='Prop challenge'!$D$9)),1,0))</f>
        <v>0</v>
      </c>
      <c r="AV338">
        <f>IF(AU338=1,IF(COUNTIFS($D$5:D338,D338,$AU$5:AU338,1)=1,1,0),0)</f>
        <v>0</v>
      </c>
      <c r="AW338" t="str">
        <f>IF(AV338=1,SUM($AV$5:AV338),"")</f>
        <v/>
      </c>
      <c r="AX338" t="str">
        <f>IF(AV338=1,SUMIFS($R$5:$R$504,$D$5:$D$504,D338,$AU$5:$AU$504,1),"")</f>
        <v/>
      </c>
    </row>
    <row r="339">
      <c r="A339" s="20" t="str">
        <f>IF(AG339=1,ROW()-4,"")</f>
        <v/>
      </c>
      <c r="B339" s="21" t="n"/>
      <c r="C339" s="22" t="n"/>
      <c r="D339" s="21" t="n"/>
      <c r="E339" s="22" t="n"/>
      <c r="F339" s="23" t="n"/>
      <c r="G339" s="23" t="n"/>
      <c r="H339" s="23" t="n"/>
      <c r="I339" s="24" t="n"/>
      <c r="J339" s="25" t="n"/>
      <c r="K339" s="25" t="n"/>
      <c r="L339" s="25" t="n"/>
      <c r="M339" s="25" t="n"/>
      <c r="N339" s="26" t="n"/>
      <c r="O339" s="26" t="n"/>
      <c r="P339" s="27" t="str">
        <f>IF(OR(J339="",K339="",I339="",AF339=0,AD339=""),"",(K339-J339)*AF339*I339*AD339*AE339)</f>
        <v/>
      </c>
      <c r="Q339" s="26" t="n"/>
      <c r="R339" s="28" t="str">
        <f>IF(Q339&lt;&gt;"",Q339,IF(P339="","",P339-N(N339)+N(O339)))</f>
        <v/>
      </c>
      <c r="S339" s="27" t="str">
        <f>IF(OR(L339="",J339="",I339="",AD339=""),"",ABS(J339-L339)*I339*AD339*AE339)</f>
        <v/>
      </c>
      <c r="T339" s="29" t="str">
        <f>IF(OR(R339="",S339="",S339=0),"",R339/S339)</f>
        <v/>
      </c>
      <c r="U339" s="20" t="str">
        <f>IF(R339="","",IF(R339&gt;0,"Ganadora",IF(R339&lt;0,"Perdedora","BE")))</f>
        <v/>
      </c>
      <c r="V339" s="23" t="n"/>
      <c r="W339" s="23" t="n"/>
      <c r="X339" s="23" t="n"/>
      <c r="Y339" s="23" t="n"/>
      <c r="Z339" s="23" t="n"/>
      <c r="AA339" s="23" t="n"/>
      <c r="AB339" s="30" t="n"/>
      <c r="AC339" s="1" t="n"/>
      <c r="AD339" s="1" t="str">
        <f>IF(G339="","",IFERROR(INDEX('Listas'!$N$6:$N$35,MATCH(G339,'Listas'!$M$6:$M$35,0)),""))</f>
        <v/>
      </c>
      <c r="AE339">
        <f>IF(G339="",1,IFERROR(INDEX('Listas'!$P$6:$P$35,MATCH(G339,'Listas'!$M$6:$M$35,0)),1))</f>
        <v>1</v>
      </c>
      <c r="AF339">
        <f>IF(H339="Compra",1,IF(H339="Venta",-1,0))</f>
        <v>0</v>
      </c>
      <c r="AG339">
        <f>IF(AND(D339&lt;&gt;"",ISNUMBER(R339)),1,0)</f>
        <v>0</v>
      </c>
      <c r="AH339">
        <f>IF(AG339=0,0,IF(OR('Panel'!$D$5="Todas las cuentas",'Panel'!$D$5="",F339='Panel'!$D$5),1,0))</f>
        <v>0</v>
      </c>
      <c r="AI339">
        <f>IF(AH339=0,0,IF(AND(OR('Panel'!$G$5="",D339&gt;='Panel'!$G$5),OR('Panel'!$J$5="",D339&lt;='Panel'!$J$5)),1,0))</f>
        <v>0</v>
      </c>
      <c r="AJ339">
        <f>IF(AI339=1,R339,0)</f>
        <v>0</v>
      </c>
      <c r="AK339" t="str">
        <f>IF(AI339=1,'Panel'!$AB$4+SUM($AJ$5:AJ339),"")</f>
        <v/>
      </c>
      <c r="AL339">
        <f>IF(AI339=0,N(AL338),IF(R339&lt;0,N(AL338)+1,0))</f>
        <v>1</v>
      </c>
      <c r="AM339">
        <f>IF(AI339=0,N(AM338),IF(R339&gt;0,N(AM338)+1,0))</f>
        <v>0</v>
      </c>
      <c r="AN339">
        <f>IF(AI339=1,MAX('Panel'!$AB$4,N(AN338),AK339),N(AN338))</f>
        <v>21371.061500000033</v>
      </c>
      <c r="AO339">
        <f>IF(AI339=1,AN339-AK339,0)</f>
        <v>0</v>
      </c>
      <c r="AP339">
        <f>IF(AND(AI339=1,AN339&gt;0),AO339/AN339,0)</f>
        <v>0</v>
      </c>
      <c r="AQ339" t="str">
        <f>IF(AI339=1,SUM($AI$5:AI339),"")</f>
        <v/>
      </c>
      <c r="AR339" t="str">
        <f>IF(AI339=1,IF(COUNTIFS($D$5:D339,D339,$AI$5:AI339,1)=1,SUMIFS($AJ$5:$AJ$504,$D$5:$D$504,D339),""),"")</f>
        <v/>
      </c>
      <c r="AS339" t="str">
        <f>IF(AG339=1,WEEKDAY(D339,2),"")</f>
        <v/>
      </c>
      <c r="AT339" s="31" t="str">
        <f>IF(AG339=1,DATE(YEAR(D339),MONTH(D339),1),"")</f>
        <v/>
      </c>
      <c r="AU339">
        <f>IF(AG339=0,0,IF(AND(OR('Prop challenge'!$D$7="",F339='Prop challenge'!$D$7),OR('Prop challenge'!$D$9="",D339&gt;='Prop challenge'!$D$9)),1,0))</f>
        <v>0</v>
      </c>
      <c r="AV339">
        <f>IF(AU339=1,IF(COUNTIFS($D$5:D339,D339,$AU$5:AU339,1)=1,1,0),0)</f>
        <v>0</v>
      </c>
      <c r="AW339" t="str">
        <f>IF(AV339=1,SUM($AV$5:AV339),"")</f>
        <v/>
      </c>
      <c r="AX339" t="str">
        <f>IF(AV339=1,SUMIFS($R$5:$R$504,$D$5:$D$504,D339,$AU$5:$AU$504,1),"")</f>
        <v/>
      </c>
    </row>
    <row r="340">
      <c r="A340" s="20" t="str">
        <f>IF(AG340=1,ROW()-4,"")</f>
        <v/>
      </c>
      <c r="B340" s="21" t="n"/>
      <c r="C340" s="22" t="n"/>
      <c r="D340" s="21" t="n"/>
      <c r="E340" s="22" t="n"/>
      <c r="F340" s="23" t="n"/>
      <c r="G340" s="23" t="n"/>
      <c r="H340" s="23" t="n"/>
      <c r="I340" s="24" t="n"/>
      <c r="J340" s="25" t="n"/>
      <c r="K340" s="25" t="n"/>
      <c r="L340" s="25" t="n"/>
      <c r="M340" s="25" t="n"/>
      <c r="N340" s="26" t="n"/>
      <c r="O340" s="26" t="n"/>
      <c r="P340" s="27" t="str">
        <f>IF(OR(J340="",K340="",I340="",AF340=0,AD340=""),"",(K340-J340)*AF340*I340*AD340*AE340)</f>
        <v/>
      </c>
      <c r="Q340" s="26" t="n"/>
      <c r="R340" s="28" t="str">
        <f>IF(Q340&lt;&gt;"",Q340,IF(P340="","",P340-N(N340)+N(O340)))</f>
        <v/>
      </c>
      <c r="S340" s="27" t="str">
        <f>IF(OR(L340="",J340="",I340="",AD340=""),"",ABS(J340-L340)*I340*AD340*AE340)</f>
        <v/>
      </c>
      <c r="T340" s="29" t="str">
        <f>IF(OR(R340="",S340="",S340=0),"",R340/S340)</f>
        <v/>
      </c>
      <c r="U340" s="20" t="str">
        <f>IF(R340="","",IF(R340&gt;0,"Ganadora",IF(R340&lt;0,"Perdedora","BE")))</f>
        <v/>
      </c>
      <c r="V340" s="23" t="n"/>
      <c r="W340" s="23" t="n"/>
      <c r="X340" s="23" t="n"/>
      <c r="Y340" s="23" t="n"/>
      <c r="Z340" s="23" t="n"/>
      <c r="AA340" s="23" t="n"/>
      <c r="AB340" s="30" t="n"/>
      <c r="AC340" s="1" t="n"/>
      <c r="AD340" s="1" t="str">
        <f>IF(G340="","",IFERROR(INDEX('Listas'!$N$6:$N$35,MATCH(G340,'Listas'!$M$6:$M$35,0)),""))</f>
        <v/>
      </c>
      <c r="AE340">
        <f>IF(G340="",1,IFERROR(INDEX('Listas'!$P$6:$P$35,MATCH(G340,'Listas'!$M$6:$M$35,0)),1))</f>
        <v>1</v>
      </c>
      <c r="AF340">
        <f>IF(H340="Compra",1,IF(H340="Venta",-1,0))</f>
        <v>0</v>
      </c>
      <c r="AG340">
        <f>IF(AND(D340&lt;&gt;"",ISNUMBER(R340)),1,0)</f>
        <v>0</v>
      </c>
      <c r="AH340">
        <f>IF(AG340=0,0,IF(OR('Panel'!$D$5="Todas las cuentas",'Panel'!$D$5="",F340='Panel'!$D$5),1,0))</f>
        <v>0</v>
      </c>
      <c r="AI340">
        <f>IF(AH340=0,0,IF(AND(OR('Panel'!$G$5="",D340&gt;='Panel'!$G$5),OR('Panel'!$J$5="",D340&lt;='Panel'!$J$5)),1,0))</f>
        <v>0</v>
      </c>
      <c r="AJ340">
        <f>IF(AI340=1,R340,0)</f>
        <v>0</v>
      </c>
      <c r="AK340" t="str">
        <f>IF(AI340=1,'Panel'!$AB$4+SUM($AJ$5:AJ340),"")</f>
        <v/>
      </c>
      <c r="AL340">
        <f>IF(AI340=0,N(AL339),IF(R340&lt;0,N(AL339)+1,0))</f>
        <v>1</v>
      </c>
      <c r="AM340">
        <f>IF(AI340=0,N(AM339),IF(R340&gt;0,N(AM339)+1,0))</f>
        <v>0</v>
      </c>
      <c r="AN340">
        <f>IF(AI340=1,MAX('Panel'!$AB$4,N(AN339),AK340),N(AN339))</f>
        <v>21371.061500000033</v>
      </c>
      <c r="AO340">
        <f>IF(AI340=1,AN340-AK340,0)</f>
        <v>0</v>
      </c>
      <c r="AP340">
        <f>IF(AND(AI340=1,AN340&gt;0),AO340/AN340,0)</f>
        <v>0</v>
      </c>
      <c r="AQ340" t="str">
        <f>IF(AI340=1,SUM($AI$5:AI340),"")</f>
        <v/>
      </c>
      <c r="AR340" t="str">
        <f>IF(AI340=1,IF(COUNTIFS($D$5:D340,D340,$AI$5:AI340,1)=1,SUMIFS($AJ$5:$AJ$504,$D$5:$D$504,D340),""),"")</f>
        <v/>
      </c>
      <c r="AS340" t="str">
        <f>IF(AG340=1,WEEKDAY(D340,2),"")</f>
        <v/>
      </c>
      <c r="AT340" s="31" t="str">
        <f>IF(AG340=1,DATE(YEAR(D340),MONTH(D340),1),"")</f>
        <v/>
      </c>
      <c r="AU340">
        <f>IF(AG340=0,0,IF(AND(OR('Prop challenge'!$D$7="",F340='Prop challenge'!$D$7),OR('Prop challenge'!$D$9="",D340&gt;='Prop challenge'!$D$9)),1,0))</f>
        <v>0</v>
      </c>
      <c r="AV340">
        <f>IF(AU340=1,IF(COUNTIFS($D$5:D340,D340,$AU$5:AU340,1)=1,1,0),0)</f>
        <v>0</v>
      </c>
      <c r="AW340" t="str">
        <f>IF(AV340=1,SUM($AV$5:AV340),"")</f>
        <v/>
      </c>
      <c r="AX340" t="str">
        <f>IF(AV340=1,SUMIFS($R$5:$R$504,$D$5:$D$504,D340,$AU$5:$AU$504,1),"")</f>
        <v/>
      </c>
    </row>
    <row r="341">
      <c r="A341" s="20" t="str">
        <f>IF(AG341=1,ROW()-4,"")</f>
        <v/>
      </c>
      <c r="B341" s="21" t="n"/>
      <c r="C341" s="22" t="n"/>
      <c r="D341" s="21" t="n"/>
      <c r="E341" s="22" t="n"/>
      <c r="F341" s="23" t="n"/>
      <c r="G341" s="23" t="n"/>
      <c r="H341" s="23" t="n"/>
      <c r="I341" s="24" t="n"/>
      <c r="J341" s="25" t="n"/>
      <c r="K341" s="25" t="n"/>
      <c r="L341" s="25" t="n"/>
      <c r="M341" s="25" t="n"/>
      <c r="N341" s="26" t="n"/>
      <c r="O341" s="26" t="n"/>
      <c r="P341" s="27" t="str">
        <f>IF(OR(J341="",K341="",I341="",AF341=0,AD341=""),"",(K341-J341)*AF341*I341*AD341*AE341)</f>
        <v/>
      </c>
      <c r="Q341" s="26" t="n"/>
      <c r="R341" s="28" t="str">
        <f>IF(Q341&lt;&gt;"",Q341,IF(P341="","",P341-N(N341)+N(O341)))</f>
        <v/>
      </c>
      <c r="S341" s="27" t="str">
        <f>IF(OR(L341="",J341="",I341="",AD341=""),"",ABS(J341-L341)*I341*AD341*AE341)</f>
        <v/>
      </c>
      <c r="T341" s="29" t="str">
        <f>IF(OR(R341="",S341="",S341=0),"",R341/S341)</f>
        <v/>
      </c>
      <c r="U341" s="20" t="str">
        <f>IF(R341="","",IF(R341&gt;0,"Ganadora",IF(R341&lt;0,"Perdedora","BE")))</f>
        <v/>
      </c>
      <c r="V341" s="23" t="n"/>
      <c r="W341" s="23" t="n"/>
      <c r="X341" s="23" t="n"/>
      <c r="Y341" s="23" t="n"/>
      <c r="Z341" s="23" t="n"/>
      <c r="AA341" s="23" t="n"/>
      <c r="AB341" s="30" t="n"/>
      <c r="AC341" s="1" t="n"/>
      <c r="AD341" s="1" t="str">
        <f>IF(G341="","",IFERROR(INDEX('Listas'!$N$6:$N$35,MATCH(G341,'Listas'!$M$6:$M$35,0)),""))</f>
        <v/>
      </c>
      <c r="AE341">
        <f>IF(G341="",1,IFERROR(INDEX('Listas'!$P$6:$P$35,MATCH(G341,'Listas'!$M$6:$M$35,0)),1))</f>
        <v>1</v>
      </c>
      <c r="AF341">
        <f>IF(H341="Compra",1,IF(H341="Venta",-1,0))</f>
        <v>0</v>
      </c>
      <c r="AG341">
        <f>IF(AND(D341&lt;&gt;"",ISNUMBER(R341)),1,0)</f>
        <v>0</v>
      </c>
      <c r="AH341">
        <f>IF(AG341=0,0,IF(OR('Panel'!$D$5="Todas las cuentas",'Panel'!$D$5="",F341='Panel'!$D$5),1,0))</f>
        <v>0</v>
      </c>
      <c r="AI341">
        <f>IF(AH341=0,0,IF(AND(OR('Panel'!$G$5="",D341&gt;='Panel'!$G$5),OR('Panel'!$J$5="",D341&lt;='Panel'!$J$5)),1,0))</f>
        <v>0</v>
      </c>
      <c r="AJ341">
        <f>IF(AI341=1,R341,0)</f>
        <v>0</v>
      </c>
      <c r="AK341" t="str">
        <f>IF(AI341=1,'Panel'!$AB$4+SUM($AJ$5:AJ341),"")</f>
        <v/>
      </c>
      <c r="AL341">
        <f>IF(AI341=0,N(AL340),IF(R341&lt;0,N(AL340)+1,0))</f>
        <v>1</v>
      </c>
      <c r="AM341">
        <f>IF(AI341=0,N(AM340),IF(R341&gt;0,N(AM340)+1,0))</f>
        <v>0</v>
      </c>
      <c r="AN341">
        <f>IF(AI341=1,MAX('Panel'!$AB$4,N(AN340),AK341),N(AN340))</f>
        <v>21371.061500000033</v>
      </c>
      <c r="AO341">
        <f>IF(AI341=1,AN341-AK341,0)</f>
        <v>0</v>
      </c>
      <c r="AP341">
        <f>IF(AND(AI341=1,AN341&gt;0),AO341/AN341,0)</f>
        <v>0</v>
      </c>
      <c r="AQ341" t="str">
        <f>IF(AI341=1,SUM($AI$5:AI341),"")</f>
        <v/>
      </c>
      <c r="AR341" t="str">
        <f>IF(AI341=1,IF(COUNTIFS($D$5:D341,D341,$AI$5:AI341,1)=1,SUMIFS($AJ$5:$AJ$504,$D$5:$D$504,D341),""),"")</f>
        <v/>
      </c>
      <c r="AS341" t="str">
        <f>IF(AG341=1,WEEKDAY(D341,2),"")</f>
        <v/>
      </c>
      <c r="AT341" s="31" t="str">
        <f>IF(AG341=1,DATE(YEAR(D341),MONTH(D341),1),"")</f>
        <v/>
      </c>
      <c r="AU341">
        <f>IF(AG341=0,0,IF(AND(OR('Prop challenge'!$D$7="",F341='Prop challenge'!$D$7),OR('Prop challenge'!$D$9="",D341&gt;='Prop challenge'!$D$9)),1,0))</f>
        <v>0</v>
      </c>
      <c r="AV341">
        <f>IF(AU341=1,IF(COUNTIFS($D$5:D341,D341,$AU$5:AU341,1)=1,1,0),0)</f>
        <v>0</v>
      </c>
      <c r="AW341" t="str">
        <f>IF(AV341=1,SUM($AV$5:AV341),"")</f>
        <v/>
      </c>
      <c r="AX341" t="str">
        <f>IF(AV341=1,SUMIFS($R$5:$R$504,$D$5:$D$504,D341,$AU$5:$AU$504,1),"")</f>
        <v/>
      </c>
    </row>
    <row r="342">
      <c r="A342" s="20" t="str">
        <f>IF(AG342=1,ROW()-4,"")</f>
        <v/>
      </c>
      <c r="B342" s="21" t="n"/>
      <c r="C342" s="22" t="n"/>
      <c r="D342" s="21" t="n"/>
      <c r="E342" s="22" t="n"/>
      <c r="F342" s="23" t="n"/>
      <c r="G342" s="23" t="n"/>
      <c r="H342" s="23" t="n"/>
      <c r="I342" s="24" t="n"/>
      <c r="J342" s="25" t="n"/>
      <c r="K342" s="25" t="n"/>
      <c r="L342" s="25" t="n"/>
      <c r="M342" s="25" t="n"/>
      <c r="N342" s="26" t="n"/>
      <c r="O342" s="26" t="n"/>
      <c r="P342" s="27" t="str">
        <f>IF(OR(J342="",K342="",I342="",AF342=0,AD342=""),"",(K342-J342)*AF342*I342*AD342*AE342)</f>
        <v/>
      </c>
      <c r="Q342" s="26" t="n"/>
      <c r="R342" s="28" t="str">
        <f>IF(Q342&lt;&gt;"",Q342,IF(P342="","",P342-N(N342)+N(O342)))</f>
        <v/>
      </c>
      <c r="S342" s="27" t="str">
        <f>IF(OR(L342="",J342="",I342="",AD342=""),"",ABS(J342-L342)*I342*AD342*AE342)</f>
        <v/>
      </c>
      <c r="T342" s="29" t="str">
        <f>IF(OR(R342="",S342="",S342=0),"",R342/S342)</f>
        <v/>
      </c>
      <c r="U342" s="20" t="str">
        <f>IF(R342="","",IF(R342&gt;0,"Ganadora",IF(R342&lt;0,"Perdedora","BE")))</f>
        <v/>
      </c>
      <c r="V342" s="23" t="n"/>
      <c r="W342" s="23" t="n"/>
      <c r="X342" s="23" t="n"/>
      <c r="Y342" s="23" t="n"/>
      <c r="Z342" s="23" t="n"/>
      <c r="AA342" s="23" t="n"/>
      <c r="AB342" s="30" t="n"/>
      <c r="AC342" s="1" t="n"/>
      <c r="AD342" s="1" t="str">
        <f>IF(G342="","",IFERROR(INDEX('Listas'!$N$6:$N$35,MATCH(G342,'Listas'!$M$6:$M$35,0)),""))</f>
        <v/>
      </c>
      <c r="AE342">
        <f>IF(G342="",1,IFERROR(INDEX('Listas'!$P$6:$P$35,MATCH(G342,'Listas'!$M$6:$M$35,0)),1))</f>
        <v>1</v>
      </c>
      <c r="AF342">
        <f>IF(H342="Compra",1,IF(H342="Venta",-1,0))</f>
        <v>0</v>
      </c>
      <c r="AG342">
        <f>IF(AND(D342&lt;&gt;"",ISNUMBER(R342)),1,0)</f>
        <v>0</v>
      </c>
      <c r="AH342">
        <f>IF(AG342=0,0,IF(OR('Panel'!$D$5="Todas las cuentas",'Panel'!$D$5="",F342='Panel'!$D$5),1,0))</f>
        <v>0</v>
      </c>
      <c r="AI342">
        <f>IF(AH342=0,0,IF(AND(OR('Panel'!$G$5="",D342&gt;='Panel'!$G$5),OR('Panel'!$J$5="",D342&lt;='Panel'!$J$5)),1,0))</f>
        <v>0</v>
      </c>
      <c r="AJ342">
        <f>IF(AI342=1,R342,0)</f>
        <v>0</v>
      </c>
      <c r="AK342" t="str">
        <f>IF(AI342=1,'Panel'!$AB$4+SUM($AJ$5:AJ342),"")</f>
        <v/>
      </c>
      <c r="AL342">
        <f>IF(AI342=0,N(AL341),IF(R342&lt;0,N(AL341)+1,0))</f>
        <v>1</v>
      </c>
      <c r="AM342">
        <f>IF(AI342=0,N(AM341),IF(R342&gt;0,N(AM341)+1,0))</f>
        <v>0</v>
      </c>
      <c r="AN342">
        <f>IF(AI342=1,MAX('Panel'!$AB$4,N(AN341),AK342),N(AN341))</f>
        <v>21371.061500000033</v>
      </c>
      <c r="AO342">
        <f>IF(AI342=1,AN342-AK342,0)</f>
        <v>0</v>
      </c>
      <c r="AP342">
        <f>IF(AND(AI342=1,AN342&gt;0),AO342/AN342,0)</f>
        <v>0</v>
      </c>
      <c r="AQ342" t="str">
        <f>IF(AI342=1,SUM($AI$5:AI342),"")</f>
        <v/>
      </c>
      <c r="AR342" t="str">
        <f>IF(AI342=1,IF(COUNTIFS($D$5:D342,D342,$AI$5:AI342,1)=1,SUMIFS($AJ$5:$AJ$504,$D$5:$D$504,D342),""),"")</f>
        <v/>
      </c>
      <c r="AS342" t="str">
        <f>IF(AG342=1,WEEKDAY(D342,2),"")</f>
        <v/>
      </c>
      <c r="AT342" s="31" t="str">
        <f>IF(AG342=1,DATE(YEAR(D342),MONTH(D342),1),"")</f>
        <v/>
      </c>
      <c r="AU342">
        <f>IF(AG342=0,0,IF(AND(OR('Prop challenge'!$D$7="",F342='Prop challenge'!$D$7),OR('Prop challenge'!$D$9="",D342&gt;='Prop challenge'!$D$9)),1,0))</f>
        <v>0</v>
      </c>
      <c r="AV342">
        <f>IF(AU342=1,IF(COUNTIFS($D$5:D342,D342,$AU$5:AU342,1)=1,1,0),0)</f>
        <v>0</v>
      </c>
      <c r="AW342" t="str">
        <f>IF(AV342=1,SUM($AV$5:AV342),"")</f>
        <v/>
      </c>
      <c r="AX342" t="str">
        <f>IF(AV342=1,SUMIFS($R$5:$R$504,$D$5:$D$504,D342,$AU$5:$AU$504,1),"")</f>
        <v/>
      </c>
    </row>
    <row r="343">
      <c r="A343" s="20" t="str">
        <f>IF(AG343=1,ROW()-4,"")</f>
        <v/>
      </c>
      <c r="B343" s="21" t="n"/>
      <c r="C343" s="22" t="n"/>
      <c r="D343" s="21" t="n"/>
      <c r="E343" s="22" t="n"/>
      <c r="F343" s="23" t="n"/>
      <c r="G343" s="23" t="n"/>
      <c r="H343" s="23" t="n"/>
      <c r="I343" s="24" t="n"/>
      <c r="J343" s="25" t="n"/>
      <c r="K343" s="25" t="n"/>
      <c r="L343" s="25" t="n"/>
      <c r="M343" s="25" t="n"/>
      <c r="N343" s="26" t="n"/>
      <c r="O343" s="26" t="n"/>
      <c r="P343" s="27" t="str">
        <f>IF(OR(J343="",K343="",I343="",AF343=0,AD343=""),"",(K343-J343)*AF343*I343*AD343*AE343)</f>
        <v/>
      </c>
      <c r="Q343" s="26" t="n"/>
      <c r="R343" s="28" t="str">
        <f>IF(Q343&lt;&gt;"",Q343,IF(P343="","",P343-N(N343)+N(O343)))</f>
        <v/>
      </c>
      <c r="S343" s="27" t="str">
        <f>IF(OR(L343="",J343="",I343="",AD343=""),"",ABS(J343-L343)*I343*AD343*AE343)</f>
        <v/>
      </c>
      <c r="T343" s="29" t="str">
        <f>IF(OR(R343="",S343="",S343=0),"",R343/S343)</f>
        <v/>
      </c>
      <c r="U343" s="20" t="str">
        <f>IF(R343="","",IF(R343&gt;0,"Ganadora",IF(R343&lt;0,"Perdedora","BE")))</f>
        <v/>
      </c>
      <c r="V343" s="23" t="n"/>
      <c r="W343" s="23" t="n"/>
      <c r="X343" s="23" t="n"/>
      <c r="Y343" s="23" t="n"/>
      <c r="Z343" s="23" t="n"/>
      <c r="AA343" s="23" t="n"/>
      <c r="AB343" s="30" t="n"/>
      <c r="AC343" s="1" t="n"/>
      <c r="AD343" s="1" t="str">
        <f>IF(G343="","",IFERROR(INDEX('Listas'!$N$6:$N$35,MATCH(G343,'Listas'!$M$6:$M$35,0)),""))</f>
        <v/>
      </c>
      <c r="AE343">
        <f>IF(G343="",1,IFERROR(INDEX('Listas'!$P$6:$P$35,MATCH(G343,'Listas'!$M$6:$M$35,0)),1))</f>
        <v>1</v>
      </c>
      <c r="AF343">
        <f>IF(H343="Compra",1,IF(H343="Venta",-1,0))</f>
        <v>0</v>
      </c>
      <c r="AG343">
        <f>IF(AND(D343&lt;&gt;"",ISNUMBER(R343)),1,0)</f>
        <v>0</v>
      </c>
      <c r="AH343">
        <f>IF(AG343=0,0,IF(OR('Panel'!$D$5="Todas las cuentas",'Panel'!$D$5="",F343='Panel'!$D$5),1,0))</f>
        <v>0</v>
      </c>
      <c r="AI343">
        <f>IF(AH343=0,0,IF(AND(OR('Panel'!$G$5="",D343&gt;='Panel'!$G$5),OR('Panel'!$J$5="",D343&lt;='Panel'!$J$5)),1,0))</f>
        <v>0</v>
      </c>
      <c r="AJ343">
        <f>IF(AI343=1,R343,0)</f>
        <v>0</v>
      </c>
      <c r="AK343" t="str">
        <f>IF(AI343=1,'Panel'!$AB$4+SUM($AJ$5:AJ343),"")</f>
        <v/>
      </c>
      <c r="AL343">
        <f>IF(AI343=0,N(AL342),IF(R343&lt;0,N(AL342)+1,0))</f>
        <v>1</v>
      </c>
      <c r="AM343">
        <f>IF(AI343=0,N(AM342),IF(R343&gt;0,N(AM342)+1,0))</f>
        <v>0</v>
      </c>
      <c r="AN343">
        <f>IF(AI343=1,MAX('Panel'!$AB$4,N(AN342),AK343),N(AN342))</f>
        <v>21371.061500000033</v>
      </c>
      <c r="AO343">
        <f>IF(AI343=1,AN343-AK343,0)</f>
        <v>0</v>
      </c>
      <c r="AP343">
        <f>IF(AND(AI343=1,AN343&gt;0),AO343/AN343,0)</f>
        <v>0</v>
      </c>
      <c r="AQ343" t="str">
        <f>IF(AI343=1,SUM($AI$5:AI343),"")</f>
        <v/>
      </c>
      <c r="AR343" t="str">
        <f>IF(AI343=1,IF(COUNTIFS($D$5:D343,D343,$AI$5:AI343,1)=1,SUMIFS($AJ$5:$AJ$504,$D$5:$D$504,D343),""),"")</f>
        <v/>
      </c>
      <c r="AS343" t="str">
        <f>IF(AG343=1,WEEKDAY(D343,2),"")</f>
        <v/>
      </c>
      <c r="AT343" s="31" t="str">
        <f>IF(AG343=1,DATE(YEAR(D343),MONTH(D343),1),"")</f>
        <v/>
      </c>
      <c r="AU343">
        <f>IF(AG343=0,0,IF(AND(OR('Prop challenge'!$D$7="",F343='Prop challenge'!$D$7),OR('Prop challenge'!$D$9="",D343&gt;='Prop challenge'!$D$9)),1,0))</f>
        <v>0</v>
      </c>
      <c r="AV343">
        <f>IF(AU343=1,IF(COUNTIFS($D$5:D343,D343,$AU$5:AU343,1)=1,1,0),0)</f>
        <v>0</v>
      </c>
      <c r="AW343" t="str">
        <f>IF(AV343=1,SUM($AV$5:AV343),"")</f>
        <v/>
      </c>
      <c r="AX343" t="str">
        <f>IF(AV343=1,SUMIFS($R$5:$R$504,$D$5:$D$504,D343,$AU$5:$AU$504,1),"")</f>
        <v/>
      </c>
    </row>
    <row r="344">
      <c r="A344" s="20" t="str">
        <f>IF(AG344=1,ROW()-4,"")</f>
        <v/>
      </c>
      <c r="B344" s="21" t="n"/>
      <c r="C344" s="22" t="n"/>
      <c r="D344" s="21" t="n"/>
      <c r="E344" s="22" t="n"/>
      <c r="F344" s="23" t="n"/>
      <c r="G344" s="23" t="n"/>
      <c r="H344" s="23" t="n"/>
      <c r="I344" s="24" t="n"/>
      <c r="J344" s="25" t="n"/>
      <c r="K344" s="25" t="n"/>
      <c r="L344" s="25" t="n"/>
      <c r="M344" s="25" t="n"/>
      <c r="N344" s="26" t="n"/>
      <c r="O344" s="26" t="n"/>
      <c r="P344" s="27" t="str">
        <f>IF(OR(J344="",K344="",I344="",AF344=0,AD344=""),"",(K344-J344)*AF344*I344*AD344*AE344)</f>
        <v/>
      </c>
      <c r="Q344" s="26" t="n"/>
      <c r="R344" s="28" t="str">
        <f>IF(Q344&lt;&gt;"",Q344,IF(P344="","",P344-N(N344)+N(O344)))</f>
        <v/>
      </c>
      <c r="S344" s="27" t="str">
        <f>IF(OR(L344="",J344="",I344="",AD344=""),"",ABS(J344-L344)*I344*AD344*AE344)</f>
        <v/>
      </c>
      <c r="T344" s="29" t="str">
        <f>IF(OR(R344="",S344="",S344=0),"",R344/S344)</f>
        <v/>
      </c>
      <c r="U344" s="20" t="str">
        <f>IF(R344="","",IF(R344&gt;0,"Ganadora",IF(R344&lt;0,"Perdedora","BE")))</f>
        <v/>
      </c>
      <c r="V344" s="23" t="n"/>
      <c r="W344" s="23" t="n"/>
      <c r="X344" s="23" t="n"/>
      <c r="Y344" s="23" t="n"/>
      <c r="Z344" s="23" t="n"/>
      <c r="AA344" s="23" t="n"/>
      <c r="AB344" s="30" t="n"/>
      <c r="AC344" s="1" t="n"/>
      <c r="AD344" s="1" t="str">
        <f>IF(G344="","",IFERROR(INDEX('Listas'!$N$6:$N$35,MATCH(G344,'Listas'!$M$6:$M$35,0)),""))</f>
        <v/>
      </c>
      <c r="AE344">
        <f>IF(G344="",1,IFERROR(INDEX('Listas'!$P$6:$P$35,MATCH(G344,'Listas'!$M$6:$M$35,0)),1))</f>
        <v>1</v>
      </c>
      <c r="AF344">
        <f>IF(H344="Compra",1,IF(H344="Venta",-1,0))</f>
        <v>0</v>
      </c>
      <c r="AG344">
        <f>IF(AND(D344&lt;&gt;"",ISNUMBER(R344)),1,0)</f>
        <v>0</v>
      </c>
      <c r="AH344">
        <f>IF(AG344=0,0,IF(OR('Panel'!$D$5="Todas las cuentas",'Panel'!$D$5="",F344='Panel'!$D$5),1,0))</f>
        <v>0</v>
      </c>
      <c r="AI344">
        <f>IF(AH344=0,0,IF(AND(OR('Panel'!$G$5="",D344&gt;='Panel'!$G$5),OR('Panel'!$J$5="",D344&lt;='Panel'!$J$5)),1,0))</f>
        <v>0</v>
      </c>
      <c r="AJ344">
        <f>IF(AI344=1,R344,0)</f>
        <v>0</v>
      </c>
      <c r="AK344" t="str">
        <f>IF(AI344=1,'Panel'!$AB$4+SUM($AJ$5:AJ344),"")</f>
        <v/>
      </c>
      <c r="AL344">
        <f>IF(AI344=0,N(AL343),IF(R344&lt;0,N(AL343)+1,0))</f>
        <v>1</v>
      </c>
      <c r="AM344">
        <f>IF(AI344=0,N(AM343),IF(R344&gt;0,N(AM343)+1,0))</f>
        <v>0</v>
      </c>
      <c r="AN344">
        <f>IF(AI344=1,MAX('Panel'!$AB$4,N(AN343),AK344),N(AN343))</f>
        <v>21371.061500000033</v>
      </c>
      <c r="AO344">
        <f>IF(AI344=1,AN344-AK344,0)</f>
        <v>0</v>
      </c>
      <c r="AP344">
        <f>IF(AND(AI344=1,AN344&gt;0),AO344/AN344,0)</f>
        <v>0</v>
      </c>
      <c r="AQ344" t="str">
        <f>IF(AI344=1,SUM($AI$5:AI344),"")</f>
        <v/>
      </c>
      <c r="AR344" t="str">
        <f>IF(AI344=1,IF(COUNTIFS($D$5:D344,D344,$AI$5:AI344,1)=1,SUMIFS($AJ$5:$AJ$504,$D$5:$D$504,D344),""),"")</f>
        <v/>
      </c>
      <c r="AS344" t="str">
        <f>IF(AG344=1,WEEKDAY(D344,2),"")</f>
        <v/>
      </c>
      <c r="AT344" s="31" t="str">
        <f>IF(AG344=1,DATE(YEAR(D344),MONTH(D344),1),"")</f>
        <v/>
      </c>
      <c r="AU344">
        <f>IF(AG344=0,0,IF(AND(OR('Prop challenge'!$D$7="",F344='Prop challenge'!$D$7),OR('Prop challenge'!$D$9="",D344&gt;='Prop challenge'!$D$9)),1,0))</f>
        <v>0</v>
      </c>
      <c r="AV344">
        <f>IF(AU344=1,IF(COUNTIFS($D$5:D344,D344,$AU$5:AU344,1)=1,1,0),0)</f>
        <v>0</v>
      </c>
      <c r="AW344" t="str">
        <f>IF(AV344=1,SUM($AV$5:AV344),"")</f>
        <v/>
      </c>
      <c r="AX344" t="str">
        <f>IF(AV344=1,SUMIFS($R$5:$R$504,$D$5:$D$504,D344,$AU$5:$AU$504,1),"")</f>
        <v/>
      </c>
    </row>
    <row r="345">
      <c r="A345" s="20" t="str">
        <f>IF(AG345=1,ROW()-4,"")</f>
        <v/>
      </c>
      <c r="B345" s="21" t="n"/>
      <c r="C345" s="22" t="n"/>
      <c r="D345" s="21" t="n"/>
      <c r="E345" s="22" t="n"/>
      <c r="F345" s="23" t="n"/>
      <c r="G345" s="23" t="n"/>
      <c r="H345" s="23" t="n"/>
      <c r="I345" s="24" t="n"/>
      <c r="J345" s="25" t="n"/>
      <c r="K345" s="25" t="n"/>
      <c r="L345" s="25" t="n"/>
      <c r="M345" s="25" t="n"/>
      <c r="N345" s="26" t="n"/>
      <c r="O345" s="26" t="n"/>
      <c r="P345" s="27" t="str">
        <f>IF(OR(J345="",K345="",I345="",AF345=0,AD345=""),"",(K345-J345)*AF345*I345*AD345*AE345)</f>
        <v/>
      </c>
      <c r="Q345" s="26" t="n"/>
      <c r="R345" s="28" t="str">
        <f>IF(Q345&lt;&gt;"",Q345,IF(P345="","",P345-N(N345)+N(O345)))</f>
        <v/>
      </c>
      <c r="S345" s="27" t="str">
        <f>IF(OR(L345="",J345="",I345="",AD345=""),"",ABS(J345-L345)*I345*AD345*AE345)</f>
        <v/>
      </c>
      <c r="T345" s="29" t="str">
        <f>IF(OR(R345="",S345="",S345=0),"",R345/S345)</f>
        <v/>
      </c>
      <c r="U345" s="20" t="str">
        <f>IF(R345="","",IF(R345&gt;0,"Ganadora",IF(R345&lt;0,"Perdedora","BE")))</f>
        <v/>
      </c>
      <c r="V345" s="23" t="n"/>
      <c r="W345" s="23" t="n"/>
      <c r="X345" s="23" t="n"/>
      <c r="Y345" s="23" t="n"/>
      <c r="Z345" s="23" t="n"/>
      <c r="AA345" s="23" t="n"/>
      <c r="AB345" s="30" t="n"/>
      <c r="AC345" s="1" t="n"/>
      <c r="AD345" s="1" t="str">
        <f>IF(G345="","",IFERROR(INDEX('Listas'!$N$6:$N$35,MATCH(G345,'Listas'!$M$6:$M$35,0)),""))</f>
        <v/>
      </c>
      <c r="AE345">
        <f>IF(G345="",1,IFERROR(INDEX('Listas'!$P$6:$P$35,MATCH(G345,'Listas'!$M$6:$M$35,0)),1))</f>
        <v>1</v>
      </c>
      <c r="AF345">
        <f>IF(H345="Compra",1,IF(H345="Venta",-1,0))</f>
        <v>0</v>
      </c>
      <c r="AG345">
        <f>IF(AND(D345&lt;&gt;"",ISNUMBER(R345)),1,0)</f>
        <v>0</v>
      </c>
      <c r="AH345">
        <f>IF(AG345=0,0,IF(OR('Panel'!$D$5="Todas las cuentas",'Panel'!$D$5="",F345='Panel'!$D$5),1,0))</f>
        <v>0</v>
      </c>
      <c r="AI345">
        <f>IF(AH345=0,0,IF(AND(OR('Panel'!$G$5="",D345&gt;='Panel'!$G$5),OR('Panel'!$J$5="",D345&lt;='Panel'!$J$5)),1,0))</f>
        <v>0</v>
      </c>
      <c r="AJ345">
        <f>IF(AI345=1,R345,0)</f>
        <v>0</v>
      </c>
      <c r="AK345" t="str">
        <f>IF(AI345=1,'Panel'!$AB$4+SUM($AJ$5:AJ345),"")</f>
        <v/>
      </c>
      <c r="AL345">
        <f>IF(AI345=0,N(AL344),IF(R345&lt;0,N(AL344)+1,0))</f>
        <v>1</v>
      </c>
      <c r="AM345">
        <f>IF(AI345=0,N(AM344),IF(R345&gt;0,N(AM344)+1,0))</f>
        <v>0</v>
      </c>
      <c r="AN345">
        <f>IF(AI345=1,MAX('Panel'!$AB$4,N(AN344),AK345),N(AN344))</f>
        <v>21371.061500000033</v>
      </c>
      <c r="AO345">
        <f>IF(AI345=1,AN345-AK345,0)</f>
        <v>0</v>
      </c>
      <c r="AP345">
        <f>IF(AND(AI345=1,AN345&gt;0),AO345/AN345,0)</f>
        <v>0</v>
      </c>
      <c r="AQ345" t="str">
        <f>IF(AI345=1,SUM($AI$5:AI345),"")</f>
        <v/>
      </c>
      <c r="AR345" t="str">
        <f>IF(AI345=1,IF(COUNTIFS($D$5:D345,D345,$AI$5:AI345,1)=1,SUMIFS($AJ$5:$AJ$504,$D$5:$D$504,D345),""),"")</f>
        <v/>
      </c>
      <c r="AS345" t="str">
        <f>IF(AG345=1,WEEKDAY(D345,2),"")</f>
        <v/>
      </c>
      <c r="AT345" s="31" t="str">
        <f>IF(AG345=1,DATE(YEAR(D345),MONTH(D345),1),"")</f>
        <v/>
      </c>
      <c r="AU345">
        <f>IF(AG345=0,0,IF(AND(OR('Prop challenge'!$D$7="",F345='Prop challenge'!$D$7),OR('Prop challenge'!$D$9="",D345&gt;='Prop challenge'!$D$9)),1,0))</f>
        <v>0</v>
      </c>
      <c r="AV345">
        <f>IF(AU345=1,IF(COUNTIFS($D$5:D345,D345,$AU$5:AU345,1)=1,1,0),0)</f>
        <v>0</v>
      </c>
      <c r="AW345" t="str">
        <f>IF(AV345=1,SUM($AV$5:AV345),"")</f>
        <v/>
      </c>
      <c r="AX345" t="str">
        <f>IF(AV345=1,SUMIFS($R$5:$R$504,$D$5:$D$504,D345,$AU$5:$AU$504,1),"")</f>
        <v/>
      </c>
    </row>
    <row r="346">
      <c r="A346" s="20" t="str">
        <f>IF(AG346=1,ROW()-4,"")</f>
        <v/>
      </c>
      <c r="B346" s="21" t="n"/>
      <c r="C346" s="22" t="n"/>
      <c r="D346" s="21" t="n"/>
      <c r="E346" s="22" t="n"/>
      <c r="F346" s="23" t="n"/>
      <c r="G346" s="23" t="n"/>
      <c r="H346" s="23" t="n"/>
      <c r="I346" s="24" t="n"/>
      <c r="J346" s="25" t="n"/>
      <c r="K346" s="25" t="n"/>
      <c r="L346" s="25" t="n"/>
      <c r="M346" s="25" t="n"/>
      <c r="N346" s="26" t="n"/>
      <c r="O346" s="26" t="n"/>
      <c r="P346" s="27" t="str">
        <f>IF(OR(J346="",K346="",I346="",AF346=0,AD346=""),"",(K346-J346)*AF346*I346*AD346*AE346)</f>
        <v/>
      </c>
      <c r="Q346" s="26" t="n"/>
      <c r="R346" s="28" t="str">
        <f>IF(Q346&lt;&gt;"",Q346,IF(P346="","",P346-N(N346)+N(O346)))</f>
        <v/>
      </c>
      <c r="S346" s="27" t="str">
        <f>IF(OR(L346="",J346="",I346="",AD346=""),"",ABS(J346-L346)*I346*AD346*AE346)</f>
        <v/>
      </c>
      <c r="T346" s="29" t="str">
        <f>IF(OR(R346="",S346="",S346=0),"",R346/S346)</f>
        <v/>
      </c>
      <c r="U346" s="20" t="str">
        <f>IF(R346="","",IF(R346&gt;0,"Ganadora",IF(R346&lt;0,"Perdedora","BE")))</f>
        <v/>
      </c>
      <c r="V346" s="23" t="n"/>
      <c r="W346" s="23" t="n"/>
      <c r="X346" s="23" t="n"/>
      <c r="Y346" s="23" t="n"/>
      <c r="Z346" s="23" t="n"/>
      <c r="AA346" s="23" t="n"/>
      <c r="AB346" s="30" t="n"/>
      <c r="AC346" s="1" t="n"/>
      <c r="AD346" s="1" t="str">
        <f>IF(G346="","",IFERROR(INDEX('Listas'!$N$6:$N$35,MATCH(G346,'Listas'!$M$6:$M$35,0)),""))</f>
        <v/>
      </c>
      <c r="AE346">
        <f>IF(G346="",1,IFERROR(INDEX('Listas'!$P$6:$P$35,MATCH(G346,'Listas'!$M$6:$M$35,0)),1))</f>
        <v>1</v>
      </c>
      <c r="AF346">
        <f>IF(H346="Compra",1,IF(H346="Venta",-1,0))</f>
        <v>0</v>
      </c>
      <c r="AG346">
        <f>IF(AND(D346&lt;&gt;"",ISNUMBER(R346)),1,0)</f>
        <v>0</v>
      </c>
      <c r="AH346">
        <f>IF(AG346=0,0,IF(OR('Panel'!$D$5="Todas las cuentas",'Panel'!$D$5="",F346='Panel'!$D$5),1,0))</f>
        <v>0</v>
      </c>
      <c r="AI346">
        <f>IF(AH346=0,0,IF(AND(OR('Panel'!$G$5="",D346&gt;='Panel'!$G$5),OR('Panel'!$J$5="",D346&lt;='Panel'!$J$5)),1,0))</f>
        <v>0</v>
      </c>
      <c r="AJ346">
        <f>IF(AI346=1,R346,0)</f>
        <v>0</v>
      </c>
      <c r="AK346" t="str">
        <f>IF(AI346=1,'Panel'!$AB$4+SUM($AJ$5:AJ346),"")</f>
        <v/>
      </c>
      <c r="AL346">
        <f>IF(AI346=0,N(AL345),IF(R346&lt;0,N(AL345)+1,0))</f>
        <v>1</v>
      </c>
      <c r="AM346">
        <f>IF(AI346=0,N(AM345),IF(R346&gt;0,N(AM345)+1,0))</f>
        <v>0</v>
      </c>
      <c r="AN346">
        <f>IF(AI346=1,MAX('Panel'!$AB$4,N(AN345),AK346),N(AN345))</f>
        <v>21371.061500000033</v>
      </c>
      <c r="AO346">
        <f>IF(AI346=1,AN346-AK346,0)</f>
        <v>0</v>
      </c>
      <c r="AP346">
        <f>IF(AND(AI346=1,AN346&gt;0),AO346/AN346,0)</f>
        <v>0</v>
      </c>
      <c r="AQ346" t="str">
        <f>IF(AI346=1,SUM($AI$5:AI346),"")</f>
        <v/>
      </c>
      <c r="AR346" t="str">
        <f>IF(AI346=1,IF(COUNTIFS($D$5:D346,D346,$AI$5:AI346,1)=1,SUMIFS($AJ$5:$AJ$504,$D$5:$D$504,D346),""),"")</f>
        <v/>
      </c>
      <c r="AS346" t="str">
        <f>IF(AG346=1,WEEKDAY(D346,2),"")</f>
        <v/>
      </c>
      <c r="AT346" s="31" t="str">
        <f>IF(AG346=1,DATE(YEAR(D346),MONTH(D346),1),"")</f>
        <v/>
      </c>
      <c r="AU346">
        <f>IF(AG346=0,0,IF(AND(OR('Prop challenge'!$D$7="",F346='Prop challenge'!$D$7),OR('Prop challenge'!$D$9="",D346&gt;='Prop challenge'!$D$9)),1,0))</f>
        <v>0</v>
      </c>
      <c r="AV346">
        <f>IF(AU346=1,IF(COUNTIFS($D$5:D346,D346,$AU$5:AU346,1)=1,1,0),0)</f>
        <v>0</v>
      </c>
      <c r="AW346" t="str">
        <f>IF(AV346=1,SUM($AV$5:AV346),"")</f>
        <v/>
      </c>
      <c r="AX346" t="str">
        <f>IF(AV346=1,SUMIFS($R$5:$R$504,$D$5:$D$504,D346,$AU$5:$AU$504,1),"")</f>
        <v/>
      </c>
    </row>
    <row r="347">
      <c r="A347" s="20" t="str">
        <f>IF(AG347=1,ROW()-4,"")</f>
        <v/>
      </c>
      <c r="B347" s="21" t="n"/>
      <c r="C347" s="22" t="n"/>
      <c r="D347" s="21" t="n"/>
      <c r="E347" s="22" t="n"/>
      <c r="F347" s="23" t="n"/>
      <c r="G347" s="23" t="n"/>
      <c r="H347" s="23" t="n"/>
      <c r="I347" s="24" t="n"/>
      <c r="J347" s="25" t="n"/>
      <c r="K347" s="25" t="n"/>
      <c r="L347" s="25" t="n"/>
      <c r="M347" s="25" t="n"/>
      <c r="N347" s="26" t="n"/>
      <c r="O347" s="26" t="n"/>
      <c r="P347" s="27" t="str">
        <f>IF(OR(J347="",K347="",I347="",AF347=0,AD347=""),"",(K347-J347)*AF347*I347*AD347*AE347)</f>
        <v/>
      </c>
      <c r="Q347" s="26" t="n"/>
      <c r="R347" s="28" t="str">
        <f>IF(Q347&lt;&gt;"",Q347,IF(P347="","",P347-N(N347)+N(O347)))</f>
        <v/>
      </c>
      <c r="S347" s="27" t="str">
        <f>IF(OR(L347="",J347="",I347="",AD347=""),"",ABS(J347-L347)*I347*AD347*AE347)</f>
        <v/>
      </c>
      <c r="T347" s="29" t="str">
        <f>IF(OR(R347="",S347="",S347=0),"",R347/S347)</f>
        <v/>
      </c>
      <c r="U347" s="20" t="str">
        <f>IF(R347="","",IF(R347&gt;0,"Ganadora",IF(R347&lt;0,"Perdedora","BE")))</f>
        <v/>
      </c>
      <c r="V347" s="23" t="n"/>
      <c r="W347" s="23" t="n"/>
      <c r="X347" s="23" t="n"/>
      <c r="Y347" s="23" t="n"/>
      <c r="Z347" s="23" t="n"/>
      <c r="AA347" s="23" t="n"/>
      <c r="AB347" s="30" t="n"/>
      <c r="AC347" s="1" t="n"/>
      <c r="AD347" s="1" t="str">
        <f>IF(G347="","",IFERROR(INDEX('Listas'!$N$6:$N$35,MATCH(G347,'Listas'!$M$6:$M$35,0)),""))</f>
        <v/>
      </c>
      <c r="AE347">
        <f>IF(G347="",1,IFERROR(INDEX('Listas'!$P$6:$P$35,MATCH(G347,'Listas'!$M$6:$M$35,0)),1))</f>
        <v>1</v>
      </c>
      <c r="AF347">
        <f>IF(H347="Compra",1,IF(H347="Venta",-1,0))</f>
        <v>0</v>
      </c>
      <c r="AG347">
        <f>IF(AND(D347&lt;&gt;"",ISNUMBER(R347)),1,0)</f>
        <v>0</v>
      </c>
      <c r="AH347">
        <f>IF(AG347=0,0,IF(OR('Panel'!$D$5="Todas las cuentas",'Panel'!$D$5="",F347='Panel'!$D$5),1,0))</f>
        <v>0</v>
      </c>
      <c r="AI347">
        <f>IF(AH347=0,0,IF(AND(OR('Panel'!$G$5="",D347&gt;='Panel'!$G$5),OR('Panel'!$J$5="",D347&lt;='Panel'!$J$5)),1,0))</f>
        <v>0</v>
      </c>
      <c r="AJ347">
        <f>IF(AI347=1,R347,0)</f>
        <v>0</v>
      </c>
      <c r="AK347" t="str">
        <f>IF(AI347=1,'Panel'!$AB$4+SUM($AJ$5:AJ347),"")</f>
        <v/>
      </c>
      <c r="AL347">
        <f>IF(AI347=0,N(AL346),IF(R347&lt;0,N(AL346)+1,0))</f>
        <v>1</v>
      </c>
      <c r="AM347">
        <f>IF(AI347=0,N(AM346),IF(R347&gt;0,N(AM346)+1,0))</f>
        <v>0</v>
      </c>
      <c r="AN347">
        <f>IF(AI347=1,MAX('Panel'!$AB$4,N(AN346),AK347),N(AN346))</f>
        <v>21371.061500000033</v>
      </c>
      <c r="AO347">
        <f>IF(AI347=1,AN347-AK347,0)</f>
        <v>0</v>
      </c>
      <c r="AP347">
        <f>IF(AND(AI347=1,AN347&gt;0),AO347/AN347,0)</f>
        <v>0</v>
      </c>
      <c r="AQ347" t="str">
        <f>IF(AI347=1,SUM($AI$5:AI347),"")</f>
        <v/>
      </c>
      <c r="AR347" t="str">
        <f>IF(AI347=1,IF(COUNTIFS($D$5:D347,D347,$AI$5:AI347,1)=1,SUMIFS($AJ$5:$AJ$504,$D$5:$D$504,D347),""),"")</f>
        <v/>
      </c>
      <c r="AS347" t="str">
        <f>IF(AG347=1,WEEKDAY(D347,2),"")</f>
        <v/>
      </c>
      <c r="AT347" s="31" t="str">
        <f>IF(AG347=1,DATE(YEAR(D347),MONTH(D347),1),"")</f>
        <v/>
      </c>
      <c r="AU347">
        <f>IF(AG347=0,0,IF(AND(OR('Prop challenge'!$D$7="",F347='Prop challenge'!$D$7),OR('Prop challenge'!$D$9="",D347&gt;='Prop challenge'!$D$9)),1,0))</f>
        <v>0</v>
      </c>
      <c r="AV347">
        <f>IF(AU347=1,IF(COUNTIFS($D$5:D347,D347,$AU$5:AU347,1)=1,1,0),0)</f>
        <v>0</v>
      </c>
      <c r="AW347" t="str">
        <f>IF(AV347=1,SUM($AV$5:AV347),"")</f>
        <v/>
      </c>
      <c r="AX347" t="str">
        <f>IF(AV347=1,SUMIFS($R$5:$R$504,$D$5:$D$504,D347,$AU$5:$AU$504,1),"")</f>
        <v/>
      </c>
    </row>
    <row r="348">
      <c r="A348" s="20" t="str">
        <f>IF(AG348=1,ROW()-4,"")</f>
        <v/>
      </c>
      <c r="B348" s="21" t="n"/>
      <c r="C348" s="22" t="n"/>
      <c r="D348" s="21" t="n"/>
      <c r="E348" s="22" t="n"/>
      <c r="F348" s="23" t="n"/>
      <c r="G348" s="23" t="n"/>
      <c r="H348" s="23" t="n"/>
      <c r="I348" s="24" t="n"/>
      <c r="J348" s="25" t="n"/>
      <c r="K348" s="25" t="n"/>
      <c r="L348" s="25" t="n"/>
      <c r="M348" s="25" t="n"/>
      <c r="N348" s="26" t="n"/>
      <c r="O348" s="26" t="n"/>
      <c r="P348" s="27" t="str">
        <f>IF(OR(J348="",K348="",I348="",AF348=0,AD348=""),"",(K348-J348)*AF348*I348*AD348*AE348)</f>
        <v/>
      </c>
      <c r="Q348" s="26" t="n"/>
      <c r="R348" s="28" t="str">
        <f>IF(Q348&lt;&gt;"",Q348,IF(P348="","",P348-N(N348)+N(O348)))</f>
        <v/>
      </c>
      <c r="S348" s="27" t="str">
        <f>IF(OR(L348="",J348="",I348="",AD348=""),"",ABS(J348-L348)*I348*AD348*AE348)</f>
        <v/>
      </c>
      <c r="T348" s="29" t="str">
        <f>IF(OR(R348="",S348="",S348=0),"",R348/S348)</f>
        <v/>
      </c>
      <c r="U348" s="20" t="str">
        <f>IF(R348="","",IF(R348&gt;0,"Ganadora",IF(R348&lt;0,"Perdedora","BE")))</f>
        <v/>
      </c>
      <c r="V348" s="23" t="n"/>
      <c r="W348" s="23" t="n"/>
      <c r="X348" s="23" t="n"/>
      <c r="Y348" s="23" t="n"/>
      <c r="Z348" s="23" t="n"/>
      <c r="AA348" s="23" t="n"/>
      <c r="AB348" s="30" t="n"/>
      <c r="AC348" s="1" t="n"/>
      <c r="AD348" s="1" t="str">
        <f>IF(G348="","",IFERROR(INDEX('Listas'!$N$6:$N$35,MATCH(G348,'Listas'!$M$6:$M$35,0)),""))</f>
        <v/>
      </c>
      <c r="AE348">
        <f>IF(G348="",1,IFERROR(INDEX('Listas'!$P$6:$P$35,MATCH(G348,'Listas'!$M$6:$M$35,0)),1))</f>
        <v>1</v>
      </c>
      <c r="AF348">
        <f>IF(H348="Compra",1,IF(H348="Venta",-1,0))</f>
        <v>0</v>
      </c>
      <c r="AG348">
        <f>IF(AND(D348&lt;&gt;"",ISNUMBER(R348)),1,0)</f>
        <v>0</v>
      </c>
      <c r="AH348">
        <f>IF(AG348=0,0,IF(OR('Panel'!$D$5="Todas las cuentas",'Panel'!$D$5="",F348='Panel'!$D$5),1,0))</f>
        <v>0</v>
      </c>
      <c r="AI348">
        <f>IF(AH348=0,0,IF(AND(OR('Panel'!$G$5="",D348&gt;='Panel'!$G$5),OR('Panel'!$J$5="",D348&lt;='Panel'!$J$5)),1,0))</f>
        <v>0</v>
      </c>
      <c r="AJ348">
        <f>IF(AI348=1,R348,0)</f>
        <v>0</v>
      </c>
      <c r="AK348" t="str">
        <f>IF(AI348=1,'Panel'!$AB$4+SUM($AJ$5:AJ348),"")</f>
        <v/>
      </c>
      <c r="AL348">
        <f>IF(AI348=0,N(AL347),IF(R348&lt;0,N(AL347)+1,0))</f>
        <v>1</v>
      </c>
      <c r="AM348">
        <f>IF(AI348=0,N(AM347),IF(R348&gt;0,N(AM347)+1,0))</f>
        <v>0</v>
      </c>
      <c r="AN348">
        <f>IF(AI348=1,MAX('Panel'!$AB$4,N(AN347),AK348),N(AN347))</f>
        <v>21371.061500000033</v>
      </c>
      <c r="AO348">
        <f>IF(AI348=1,AN348-AK348,0)</f>
        <v>0</v>
      </c>
      <c r="AP348">
        <f>IF(AND(AI348=1,AN348&gt;0),AO348/AN348,0)</f>
        <v>0</v>
      </c>
      <c r="AQ348" t="str">
        <f>IF(AI348=1,SUM($AI$5:AI348),"")</f>
        <v/>
      </c>
      <c r="AR348" t="str">
        <f>IF(AI348=1,IF(COUNTIFS($D$5:D348,D348,$AI$5:AI348,1)=1,SUMIFS($AJ$5:$AJ$504,$D$5:$D$504,D348),""),"")</f>
        <v/>
      </c>
      <c r="AS348" t="str">
        <f>IF(AG348=1,WEEKDAY(D348,2),"")</f>
        <v/>
      </c>
      <c r="AT348" s="31" t="str">
        <f>IF(AG348=1,DATE(YEAR(D348),MONTH(D348),1),"")</f>
        <v/>
      </c>
      <c r="AU348">
        <f>IF(AG348=0,0,IF(AND(OR('Prop challenge'!$D$7="",F348='Prop challenge'!$D$7),OR('Prop challenge'!$D$9="",D348&gt;='Prop challenge'!$D$9)),1,0))</f>
        <v>0</v>
      </c>
      <c r="AV348">
        <f>IF(AU348=1,IF(COUNTIFS($D$5:D348,D348,$AU$5:AU348,1)=1,1,0),0)</f>
        <v>0</v>
      </c>
      <c r="AW348" t="str">
        <f>IF(AV348=1,SUM($AV$5:AV348),"")</f>
        <v/>
      </c>
      <c r="AX348" t="str">
        <f>IF(AV348=1,SUMIFS($R$5:$R$504,$D$5:$D$504,D348,$AU$5:$AU$504,1),"")</f>
        <v/>
      </c>
    </row>
    <row r="349">
      <c r="A349" s="20" t="str">
        <f>IF(AG349=1,ROW()-4,"")</f>
        <v/>
      </c>
      <c r="B349" s="21" t="n"/>
      <c r="C349" s="22" t="n"/>
      <c r="D349" s="21" t="n"/>
      <c r="E349" s="22" t="n"/>
      <c r="F349" s="23" t="n"/>
      <c r="G349" s="23" t="n"/>
      <c r="H349" s="23" t="n"/>
      <c r="I349" s="24" t="n"/>
      <c r="J349" s="25" t="n"/>
      <c r="K349" s="25" t="n"/>
      <c r="L349" s="25" t="n"/>
      <c r="M349" s="25" t="n"/>
      <c r="N349" s="26" t="n"/>
      <c r="O349" s="26" t="n"/>
      <c r="P349" s="27" t="str">
        <f>IF(OR(J349="",K349="",I349="",AF349=0,AD349=""),"",(K349-J349)*AF349*I349*AD349*AE349)</f>
        <v/>
      </c>
      <c r="Q349" s="26" t="n"/>
      <c r="R349" s="28" t="str">
        <f>IF(Q349&lt;&gt;"",Q349,IF(P349="","",P349-N(N349)+N(O349)))</f>
        <v/>
      </c>
      <c r="S349" s="27" t="str">
        <f>IF(OR(L349="",J349="",I349="",AD349=""),"",ABS(J349-L349)*I349*AD349*AE349)</f>
        <v/>
      </c>
      <c r="T349" s="29" t="str">
        <f>IF(OR(R349="",S349="",S349=0),"",R349/S349)</f>
        <v/>
      </c>
      <c r="U349" s="20" t="str">
        <f>IF(R349="","",IF(R349&gt;0,"Ganadora",IF(R349&lt;0,"Perdedora","BE")))</f>
        <v/>
      </c>
      <c r="V349" s="23" t="n"/>
      <c r="W349" s="23" t="n"/>
      <c r="X349" s="23" t="n"/>
      <c r="Y349" s="23" t="n"/>
      <c r="Z349" s="23" t="n"/>
      <c r="AA349" s="23" t="n"/>
      <c r="AB349" s="30" t="n"/>
      <c r="AC349" s="1" t="n"/>
      <c r="AD349" s="1" t="str">
        <f>IF(G349="","",IFERROR(INDEX('Listas'!$N$6:$N$35,MATCH(G349,'Listas'!$M$6:$M$35,0)),""))</f>
        <v/>
      </c>
      <c r="AE349">
        <f>IF(G349="",1,IFERROR(INDEX('Listas'!$P$6:$P$35,MATCH(G349,'Listas'!$M$6:$M$35,0)),1))</f>
        <v>1</v>
      </c>
      <c r="AF349">
        <f>IF(H349="Compra",1,IF(H349="Venta",-1,0))</f>
        <v>0</v>
      </c>
      <c r="AG349">
        <f>IF(AND(D349&lt;&gt;"",ISNUMBER(R349)),1,0)</f>
        <v>0</v>
      </c>
      <c r="AH349">
        <f>IF(AG349=0,0,IF(OR('Panel'!$D$5="Todas las cuentas",'Panel'!$D$5="",F349='Panel'!$D$5),1,0))</f>
        <v>0</v>
      </c>
      <c r="AI349">
        <f>IF(AH349=0,0,IF(AND(OR('Panel'!$G$5="",D349&gt;='Panel'!$G$5),OR('Panel'!$J$5="",D349&lt;='Panel'!$J$5)),1,0))</f>
        <v>0</v>
      </c>
      <c r="AJ349">
        <f>IF(AI349=1,R349,0)</f>
        <v>0</v>
      </c>
      <c r="AK349" t="str">
        <f>IF(AI349=1,'Panel'!$AB$4+SUM($AJ$5:AJ349),"")</f>
        <v/>
      </c>
      <c r="AL349">
        <f>IF(AI349=0,N(AL348),IF(R349&lt;0,N(AL348)+1,0))</f>
        <v>1</v>
      </c>
      <c r="AM349">
        <f>IF(AI349=0,N(AM348),IF(R349&gt;0,N(AM348)+1,0))</f>
        <v>0</v>
      </c>
      <c r="AN349">
        <f>IF(AI349=1,MAX('Panel'!$AB$4,N(AN348),AK349),N(AN348))</f>
        <v>21371.061500000033</v>
      </c>
      <c r="AO349">
        <f>IF(AI349=1,AN349-AK349,0)</f>
        <v>0</v>
      </c>
      <c r="AP349">
        <f>IF(AND(AI349=1,AN349&gt;0),AO349/AN349,0)</f>
        <v>0</v>
      </c>
      <c r="AQ349" t="str">
        <f>IF(AI349=1,SUM($AI$5:AI349),"")</f>
        <v/>
      </c>
      <c r="AR349" t="str">
        <f>IF(AI349=1,IF(COUNTIFS($D$5:D349,D349,$AI$5:AI349,1)=1,SUMIFS($AJ$5:$AJ$504,$D$5:$D$504,D349),""),"")</f>
        <v/>
      </c>
      <c r="AS349" t="str">
        <f>IF(AG349=1,WEEKDAY(D349,2),"")</f>
        <v/>
      </c>
      <c r="AT349" s="31" t="str">
        <f>IF(AG349=1,DATE(YEAR(D349),MONTH(D349),1),"")</f>
        <v/>
      </c>
      <c r="AU349">
        <f>IF(AG349=0,0,IF(AND(OR('Prop challenge'!$D$7="",F349='Prop challenge'!$D$7),OR('Prop challenge'!$D$9="",D349&gt;='Prop challenge'!$D$9)),1,0))</f>
        <v>0</v>
      </c>
      <c r="AV349">
        <f>IF(AU349=1,IF(COUNTIFS($D$5:D349,D349,$AU$5:AU349,1)=1,1,0),0)</f>
        <v>0</v>
      </c>
      <c r="AW349" t="str">
        <f>IF(AV349=1,SUM($AV$5:AV349),"")</f>
        <v/>
      </c>
      <c r="AX349" t="str">
        <f>IF(AV349=1,SUMIFS($R$5:$R$504,$D$5:$D$504,D349,$AU$5:$AU$504,1),"")</f>
        <v/>
      </c>
    </row>
    <row r="350">
      <c r="A350" s="20" t="str">
        <f>IF(AG350=1,ROW()-4,"")</f>
        <v/>
      </c>
      <c r="B350" s="21" t="n"/>
      <c r="C350" s="22" t="n"/>
      <c r="D350" s="21" t="n"/>
      <c r="E350" s="22" t="n"/>
      <c r="F350" s="23" t="n"/>
      <c r="G350" s="23" t="n"/>
      <c r="H350" s="23" t="n"/>
      <c r="I350" s="24" t="n"/>
      <c r="J350" s="25" t="n"/>
      <c r="K350" s="25" t="n"/>
      <c r="L350" s="25" t="n"/>
      <c r="M350" s="25" t="n"/>
      <c r="N350" s="26" t="n"/>
      <c r="O350" s="26" t="n"/>
      <c r="P350" s="27" t="str">
        <f>IF(OR(J350="",K350="",I350="",AF350=0,AD350=""),"",(K350-J350)*AF350*I350*AD350*AE350)</f>
        <v/>
      </c>
      <c r="Q350" s="26" t="n"/>
      <c r="R350" s="28" t="str">
        <f>IF(Q350&lt;&gt;"",Q350,IF(P350="","",P350-N(N350)+N(O350)))</f>
        <v/>
      </c>
      <c r="S350" s="27" t="str">
        <f>IF(OR(L350="",J350="",I350="",AD350=""),"",ABS(J350-L350)*I350*AD350*AE350)</f>
        <v/>
      </c>
      <c r="T350" s="29" t="str">
        <f>IF(OR(R350="",S350="",S350=0),"",R350/S350)</f>
        <v/>
      </c>
      <c r="U350" s="20" t="str">
        <f>IF(R350="","",IF(R350&gt;0,"Ganadora",IF(R350&lt;0,"Perdedora","BE")))</f>
        <v/>
      </c>
      <c r="V350" s="23" t="n"/>
      <c r="W350" s="23" t="n"/>
      <c r="X350" s="23" t="n"/>
      <c r="Y350" s="23" t="n"/>
      <c r="Z350" s="23" t="n"/>
      <c r="AA350" s="23" t="n"/>
      <c r="AB350" s="30" t="n"/>
      <c r="AC350" s="1" t="n"/>
      <c r="AD350" s="1" t="str">
        <f>IF(G350="","",IFERROR(INDEX('Listas'!$N$6:$N$35,MATCH(G350,'Listas'!$M$6:$M$35,0)),""))</f>
        <v/>
      </c>
      <c r="AE350">
        <f>IF(G350="",1,IFERROR(INDEX('Listas'!$P$6:$P$35,MATCH(G350,'Listas'!$M$6:$M$35,0)),1))</f>
        <v>1</v>
      </c>
      <c r="AF350">
        <f>IF(H350="Compra",1,IF(H350="Venta",-1,0))</f>
        <v>0</v>
      </c>
      <c r="AG350">
        <f>IF(AND(D350&lt;&gt;"",ISNUMBER(R350)),1,0)</f>
        <v>0</v>
      </c>
      <c r="AH350">
        <f>IF(AG350=0,0,IF(OR('Panel'!$D$5="Todas las cuentas",'Panel'!$D$5="",F350='Panel'!$D$5),1,0))</f>
        <v>0</v>
      </c>
      <c r="AI350">
        <f>IF(AH350=0,0,IF(AND(OR('Panel'!$G$5="",D350&gt;='Panel'!$G$5),OR('Panel'!$J$5="",D350&lt;='Panel'!$J$5)),1,0))</f>
        <v>0</v>
      </c>
      <c r="AJ350">
        <f>IF(AI350=1,R350,0)</f>
        <v>0</v>
      </c>
      <c r="AK350" t="str">
        <f>IF(AI350=1,'Panel'!$AB$4+SUM($AJ$5:AJ350),"")</f>
        <v/>
      </c>
      <c r="AL350">
        <f>IF(AI350=0,N(AL349),IF(R350&lt;0,N(AL349)+1,0))</f>
        <v>1</v>
      </c>
      <c r="AM350">
        <f>IF(AI350=0,N(AM349),IF(R350&gt;0,N(AM349)+1,0))</f>
        <v>0</v>
      </c>
      <c r="AN350">
        <f>IF(AI350=1,MAX('Panel'!$AB$4,N(AN349),AK350),N(AN349))</f>
        <v>21371.061500000033</v>
      </c>
      <c r="AO350">
        <f>IF(AI350=1,AN350-AK350,0)</f>
        <v>0</v>
      </c>
      <c r="AP350">
        <f>IF(AND(AI350=1,AN350&gt;0),AO350/AN350,0)</f>
        <v>0</v>
      </c>
      <c r="AQ350" t="str">
        <f>IF(AI350=1,SUM($AI$5:AI350),"")</f>
        <v/>
      </c>
      <c r="AR350" t="str">
        <f>IF(AI350=1,IF(COUNTIFS($D$5:D350,D350,$AI$5:AI350,1)=1,SUMIFS($AJ$5:$AJ$504,$D$5:$D$504,D350),""),"")</f>
        <v/>
      </c>
      <c r="AS350" t="str">
        <f>IF(AG350=1,WEEKDAY(D350,2),"")</f>
        <v/>
      </c>
      <c r="AT350" s="31" t="str">
        <f>IF(AG350=1,DATE(YEAR(D350),MONTH(D350),1),"")</f>
        <v/>
      </c>
      <c r="AU350">
        <f>IF(AG350=0,0,IF(AND(OR('Prop challenge'!$D$7="",F350='Prop challenge'!$D$7),OR('Prop challenge'!$D$9="",D350&gt;='Prop challenge'!$D$9)),1,0))</f>
        <v>0</v>
      </c>
      <c r="AV350">
        <f>IF(AU350=1,IF(COUNTIFS($D$5:D350,D350,$AU$5:AU350,1)=1,1,0),0)</f>
        <v>0</v>
      </c>
      <c r="AW350" t="str">
        <f>IF(AV350=1,SUM($AV$5:AV350),"")</f>
        <v/>
      </c>
      <c r="AX350" t="str">
        <f>IF(AV350=1,SUMIFS($R$5:$R$504,$D$5:$D$504,D350,$AU$5:$AU$504,1),"")</f>
        <v/>
      </c>
    </row>
    <row r="351">
      <c r="A351" s="20" t="str">
        <f>IF(AG351=1,ROW()-4,"")</f>
        <v/>
      </c>
      <c r="B351" s="21" t="n"/>
      <c r="C351" s="22" t="n"/>
      <c r="D351" s="21" t="n"/>
      <c r="E351" s="22" t="n"/>
      <c r="F351" s="23" t="n"/>
      <c r="G351" s="23" t="n"/>
      <c r="H351" s="23" t="n"/>
      <c r="I351" s="24" t="n"/>
      <c r="J351" s="25" t="n"/>
      <c r="K351" s="25" t="n"/>
      <c r="L351" s="25" t="n"/>
      <c r="M351" s="25" t="n"/>
      <c r="N351" s="26" t="n"/>
      <c r="O351" s="26" t="n"/>
      <c r="P351" s="27" t="str">
        <f>IF(OR(J351="",K351="",I351="",AF351=0,AD351=""),"",(K351-J351)*AF351*I351*AD351*AE351)</f>
        <v/>
      </c>
      <c r="Q351" s="26" t="n"/>
      <c r="R351" s="28" t="str">
        <f>IF(Q351&lt;&gt;"",Q351,IF(P351="","",P351-N(N351)+N(O351)))</f>
        <v/>
      </c>
      <c r="S351" s="27" t="str">
        <f>IF(OR(L351="",J351="",I351="",AD351=""),"",ABS(J351-L351)*I351*AD351*AE351)</f>
        <v/>
      </c>
      <c r="T351" s="29" t="str">
        <f>IF(OR(R351="",S351="",S351=0),"",R351/S351)</f>
        <v/>
      </c>
      <c r="U351" s="20" t="str">
        <f>IF(R351="","",IF(R351&gt;0,"Ganadora",IF(R351&lt;0,"Perdedora","BE")))</f>
        <v/>
      </c>
      <c r="V351" s="23" t="n"/>
      <c r="W351" s="23" t="n"/>
      <c r="X351" s="23" t="n"/>
      <c r="Y351" s="23" t="n"/>
      <c r="Z351" s="23" t="n"/>
      <c r="AA351" s="23" t="n"/>
      <c r="AB351" s="30" t="n"/>
      <c r="AC351" s="1" t="n"/>
      <c r="AD351" s="1" t="str">
        <f>IF(G351="","",IFERROR(INDEX('Listas'!$N$6:$N$35,MATCH(G351,'Listas'!$M$6:$M$35,0)),""))</f>
        <v/>
      </c>
      <c r="AE351">
        <f>IF(G351="",1,IFERROR(INDEX('Listas'!$P$6:$P$35,MATCH(G351,'Listas'!$M$6:$M$35,0)),1))</f>
        <v>1</v>
      </c>
      <c r="AF351">
        <f>IF(H351="Compra",1,IF(H351="Venta",-1,0))</f>
        <v>0</v>
      </c>
      <c r="AG351">
        <f>IF(AND(D351&lt;&gt;"",ISNUMBER(R351)),1,0)</f>
        <v>0</v>
      </c>
      <c r="AH351">
        <f>IF(AG351=0,0,IF(OR('Panel'!$D$5="Todas las cuentas",'Panel'!$D$5="",F351='Panel'!$D$5),1,0))</f>
        <v>0</v>
      </c>
      <c r="AI351">
        <f>IF(AH351=0,0,IF(AND(OR('Panel'!$G$5="",D351&gt;='Panel'!$G$5),OR('Panel'!$J$5="",D351&lt;='Panel'!$J$5)),1,0))</f>
        <v>0</v>
      </c>
      <c r="AJ351">
        <f>IF(AI351=1,R351,0)</f>
        <v>0</v>
      </c>
      <c r="AK351" t="str">
        <f>IF(AI351=1,'Panel'!$AB$4+SUM($AJ$5:AJ351),"")</f>
        <v/>
      </c>
      <c r="AL351">
        <f>IF(AI351=0,N(AL350),IF(R351&lt;0,N(AL350)+1,0))</f>
        <v>1</v>
      </c>
      <c r="AM351">
        <f>IF(AI351=0,N(AM350),IF(R351&gt;0,N(AM350)+1,0))</f>
        <v>0</v>
      </c>
      <c r="AN351">
        <f>IF(AI351=1,MAX('Panel'!$AB$4,N(AN350),AK351),N(AN350))</f>
        <v>21371.061500000033</v>
      </c>
      <c r="AO351">
        <f>IF(AI351=1,AN351-AK351,0)</f>
        <v>0</v>
      </c>
      <c r="AP351">
        <f>IF(AND(AI351=1,AN351&gt;0),AO351/AN351,0)</f>
        <v>0</v>
      </c>
      <c r="AQ351" t="str">
        <f>IF(AI351=1,SUM($AI$5:AI351),"")</f>
        <v/>
      </c>
      <c r="AR351" t="str">
        <f>IF(AI351=1,IF(COUNTIFS($D$5:D351,D351,$AI$5:AI351,1)=1,SUMIFS($AJ$5:$AJ$504,$D$5:$D$504,D351),""),"")</f>
        <v/>
      </c>
      <c r="AS351" t="str">
        <f>IF(AG351=1,WEEKDAY(D351,2),"")</f>
        <v/>
      </c>
      <c r="AT351" s="31" t="str">
        <f>IF(AG351=1,DATE(YEAR(D351),MONTH(D351),1),"")</f>
        <v/>
      </c>
      <c r="AU351">
        <f>IF(AG351=0,0,IF(AND(OR('Prop challenge'!$D$7="",F351='Prop challenge'!$D$7),OR('Prop challenge'!$D$9="",D351&gt;='Prop challenge'!$D$9)),1,0))</f>
        <v>0</v>
      </c>
      <c r="AV351">
        <f>IF(AU351=1,IF(COUNTIFS($D$5:D351,D351,$AU$5:AU351,1)=1,1,0),0)</f>
        <v>0</v>
      </c>
      <c r="AW351" t="str">
        <f>IF(AV351=1,SUM($AV$5:AV351),"")</f>
        <v/>
      </c>
      <c r="AX351" t="str">
        <f>IF(AV351=1,SUMIFS($R$5:$R$504,$D$5:$D$504,D351,$AU$5:$AU$504,1),"")</f>
        <v/>
      </c>
    </row>
    <row r="352">
      <c r="A352" s="20" t="str">
        <f>IF(AG352=1,ROW()-4,"")</f>
        <v/>
      </c>
      <c r="B352" s="21" t="n"/>
      <c r="C352" s="22" t="n"/>
      <c r="D352" s="21" t="n"/>
      <c r="E352" s="22" t="n"/>
      <c r="F352" s="23" t="n"/>
      <c r="G352" s="23" t="n"/>
      <c r="H352" s="23" t="n"/>
      <c r="I352" s="24" t="n"/>
      <c r="J352" s="25" t="n"/>
      <c r="K352" s="25" t="n"/>
      <c r="L352" s="25" t="n"/>
      <c r="M352" s="25" t="n"/>
      <c r="N352" s="26" t="n"/>
      <c r="O352" s="26" t="n"/>
      <c r="P352" s="27" t="str">
        <f>IF(OR(J352="",K352="",I352="",AF352=0,AD352=""),"",(K352-J352)*AF352*I352*AD352*AE352)</f>
        <v/>
      </c>
      <c r="Q352" s="26" t="n"/>
      <c r="R352" s="28" t="str">
        <f>IF(Q352&lt;&gt;"",Q352,IF(P352="","",P352-N(N352)+N(O352)))</f>
        <v/>
      </c>
      <c r="S352" s="27" t="str">
        <f>IF(OR(L352="",J352="",I352="",AD352=""),"",ABS(J352-L352)*I352*AD352*AE352)</f>
        <v/>
      </c>
      <c r="T352" s="29" t="str">
        <f>IF(OR(R352="",S352="",S352=0),"",R352/S352)</f>
        <v/>
      </c>
      <c r="U352" s="20" t="str">
        <f>IF(R352="","",IF(R352&gt;0,"Ganadora",IF(R352&lt;0,"Perdedora","BE")))</f>
        <v/>
      </c>
      <c r="V352" s="23" t="n"/>
      <c r="W352" s="23" t="n"/>
      <c r="X352" s="23" t="n"/>
      <c r="Y352" s="23" t="n"/>
      <c r="Z352" s="23" t="n"/>
      <c r="AA352" s="23" t="n"/>
      <c r="AB352" s="30" t="n"/>
      <c r="AC352" s="1" t="n"/>
      <c r="AD352" s="1" t="str">
        <f>IF(G352="","",IFERROR(INDEX('Listas'!$N$6:$N$35,MATCH(G352,'Listas'!$M$6:$M$35,0)),""))</f>
        <v/>
      </c>
      <c r="AE352">
        <f>IF(G352="",1,IFERROR(INDEX('Listas'!$P$6:$P$35,MATCH(G352,'Listas'!$M$6:$M$35,0)),1))</f>
        <v>1</v>
      </c>
      <c r="AF352">
        <f>IF(H352="Compra",1,IF(H352="Venta",-1,0))</f>
        <v>0</v>
      </c>
      <c r="AG352">
        <f>IF(AND(D352&lt;&gt;"",ISNUMBER(R352)),1,0)</f>
        <v>0</v>
      </c>
      <c r="AH352">
        <f>IF(AG352=0,0,IF(OR('Panel'!$D$5="Todas las cuentas",'Panel'!$D$5="",F352='Panel'!$D$5),1,0))</f>
        <v>0</v>
      </c>
      <c r="AI352">
        <f>IF(AH352=0,0,IF(AND(OR('Panel'!$G$5="",D352&gt;='Panel'!$G$5),OR('Panel'!$J$5="",D352&lt;='Panel'!$J$5)),1,0))</f>
        <v>0</v>
      </c>
      <c r="AJ352">
        <f>IF(AI352=1,R352,0)</f>
        <v>0</v>
      </c>
      <c r="AK352" t="str">
        <f>IF(AI352=1,'Panel'!$AB$4+SUM($AJ$5:AJ352),"")</f>
        <v/>
      </c>
      <c r="AL352">
        <f>IF(AI352=0,N(AL351),IF(R352&lt;0,N(AL351)+1,0))</f>
        <v>1</v>
      </c>
      <c r="AM352">
        <f>IF(AI352=0,N(AM351),IF(R352&gt;0,N(AM351)+1,0))</f>
        <v>0</v>
      </c>
      <c r="AN352">
        <f>IF(AI352=1,MAX('Panel'!$AB$4,N(AN351),AK352),N(AN351))</f>
        <v>21371.061500000033</v>
      </c>
      <c r="AO352">
        <f>IF(AI352=1,AN352-AK352,0)</f>
        <v>0</v>
      </c>
      <c r="AP352">
        <f>IF(AND(AI352=1,AN352&gt;0),AO352/AN352,0)</f>
        <v>0</v>
      </c>
      <c r="AQ352" t="str">
        <f>IF(AI352=1,SUM($AI$5:AI352),"")</f>
        <v/>
      </c>
      <c r="AR352" t="str">
        <f>IF(AI352=1,IF(COUNTIFS($D$5:D352,D352,$AI$5:AI352,1)=1,SUMIFS($AJ$5:$AJ$504,$D$5:$D$504,D352),""),"")</f>
        <v/>
      </c>
      <c r="AS352" t="str">
        <f>IF(AG352=1,WEEKDAY(D352,2),"")</f>
        <v/>
      </c>
      <c r="AT352" s="31" t="str">
        <f>IF(AG352=1,DATE(YEAR(D352),MONTH(D352),1),"")</f>
        <v/>
      </c>
      <c r="AU352">
        <f>IF(AG352=0,0,IF(AND(OR('Prop challenge'!$D$7="",F352='Prop challenge'!$D$7),OR('Prop challenge'!$D$9="",D352&gt;='Prop challenge'!$D$9)),1,0))</f>
        <v>0</v>
      </c>
      <c r="AV352">
        <f>IF(AU352=1,IF(COUNTIFS($D$5:D352,D352,$AU$5:AU352,1)=1,1,0),0)</f>
        <v>0</v>
      </c>
      <c r="AW352" t="str">
        <f>IF(AV352=1,SUM($AV$5:AV352),"")</f>
        <v/>
      </c>
      <c r="AX352" t="str">
        <f>IF(AV352=1,SUMIFS($R$5:$R$504,$D$5:$D$504,D352,$AU$5:$AU$504,1),"")</f>
        <v/>
      </c>
    </row>
    <row r="353">
      <c r="A353" s="20" t="str">
        <f>IF(AG353=1,ROW()-4,"")</f>
        <v/>
      </c>
      <c r="B353" s="21" t="n"/>
      <c r="C353" s="22" t="n"/>
      <c r="D353" s="21" t="n"/>
      <c r="E353" s="22" t="n"/>
      <c r="F353" s="23" t="n"/>
      <c r="G353" s="23" t="n"/>
      <c r="H353" s="23" t="n"/>
      <c r="I353" s="24" t="n"/>
      <c r="J353" s="25" t="n"/>
      <c r="K353" s="25" t="n"/>
      <c r="L353" s="25" t="n"/>
      <c r="M353" s="25" t="n"/>
      <c r="N353" s="26" t="n"/>
      <c r="O353" s="26" t="n"/>
      <c r="P353" s="27" t="str">
        <f>IF(OR(J353="",K353="",I353="",AF353=0,AD353=""),"",(K353-J353)*AF353*I353*AD353*AE353)</f>
        <v/>
      </c>
      <c r="Q353" s="26" t="n"/>
      <c r="R353" s="28" t="str">
        <f>IF(Q353&lt;&gt;"",Q353,IF(P353="","",P353-N(N353)+N(O353)))</f>
        <v/>
      </c>
      <c r="S353" s="27" t="str">
        <f>IF(OR(L353="",J353="",I353="",AD353=""),"",ABS(J353-L353)*I353*AD353*AE353)</f>
        <v/>
      </c>
      <c r="T353" s="29" t="str">
        <f>IF(OR(R353="",S353="",S353=0),"",R353/S353)</f>
        <v/>
      </c>
      <c r="U353" s="20" t="str">
        <f>IF(R353="","",IF(R353&gt;0,"Ganadora",IF(R353&lt;0,"Perdedora","BE")))</f>
        <v/>
      </c>
      <c r="V353" s="23" t="n"/>
      <c r="W353" s="23" t="n"/>
      <c r="X353" s="23" t="n"/>
      <c r="Y353" s="23" t="n"/>
      <c r="Z353" s="23" t="n"/>
      <c r="AA353" s="23" t="n"/>
      <c r="AB353" s="30" t="n"/>
      <c r="AC353" s="1" t="n"/>
      <c r="AD353" s="1" t="str">
        <f>IF(G353="","",IFERROR(INDEX('Listas'!$N$6:$N$35,MATCH(G353,'Listas'!$M$6:$M$35,0)),""))</f>
        <v/>
      </c>
      <c r="AE353">
        <f>IF(G353="",1,IFERROR(INDEX('Listas'!$P$6:$P$35,MATCH(G353,'Listas'!$M$6:$M$35,0)),1))</f>
        <v>1</v>
      </c>
      <c r="AF353">
        <f>IF(H353="Compra",1,IF(H353="Venta",-1,0))</f>
        <v>0</v>
      </c>
      <c r="AG353">
        <f>IF(AND(D353&lt;&gt;"",ISNUMBER(R353)),1,0)</f>
        <v>0</v>
      </c>
      <c r="AH353">
        <f>IF(AG353=0,0,IF(OR('Panel'!$D$5="Todas las cuentas",'Panel'!$D$5="",F353='Panel'!$D$5),1,0))</f>
        <v>0</v>
      </c>
      <c r="AI353">
        <f>IF(AH353=0,0,IF(AND(OR('Panel'!$G$5="",D353&gt;='Panel'!$G$5),OR('Panel'!$J$5="",D353&lt;='Panel'!$J$5)),1,0))</f>
        <v>0</v>
      </c>
      <c r="AJ353">
        <f>IF(AI353=1,R353,0)</f>
        <v>0</v>
      </c>
      <c r="AK353" t="str">
        <f>IF(AI353=1,'Panel'!$AB$4+SUM($AJ$5:AJ353),"")</f>
        <v/>
      </c>
      <c r="AL353">
        <f>IF(AI353=0,N(AL352),IF(R353&lt;0,N(AL352)+1,0))</f>
        <v>1</v>
      </c>
      <c r="AM353">
        <f>IF(AI353=0,N(AM352),IF(R353&gt;0,N(AM352)+1,0))</f>
        <v>0</v>
      </c>
      <c r="AN353">
        <f>IF(AI353=1,MAX('Panel'!$AB$4,N(AN352),AK353),N(AN352))</f>
        <v>21371.061500000033</v>
      </c>
      <c r="AO353">
        <f>IF(AI353=1,AN353-AK353,0)</f>
        <v>0</v>
      </c>
      <c r="AP353">
        <f>IF(AND(AI353=1,AN353&gt;0),AO353/AN353,0)</f>
        <v>0</v>
      </c>
      <c r="AQ353" t="str">
        <f>IF(AI353=1,SUM($AI$5:AI353),"")</f>
        <v/>
      </c>
      <c r="AR353" t="str">
        <f>IF(AI353=1,IF(COUNTIFS($D$5:D353,D353,$AI$5:AI353,1)=1,SUMIFS($AJ$5:$AJ$504,$D$5:$D$504,D353),""),"")</f>
        <v/>
      </c>
      <c r="AS353" t="str">
        <f>IF(AG353=1,WEEKDAY(D353,2),"")</f>
        <v/>
      </c>
      <c r="AT353" s="31" t="str">
        <f>IF(AG353=1,DATE(YEAR(D353),MONTH(D353),1),"")</f>
        <v/>
      </c>
      <c r="AU353">
        <f>IF(AG353=0,0,IF(AND(OR('Prop challenge'!$D$7="",F353='Prop challenge'!$D$7),OR('Prop challenge'!$D$9="",D353&gt;='Prop challenge'!$D$9)),1,0))</f>
        <v>0</v>
      </c>
      <c r="AV353">
        <f>IF(AU353=1,IF(COUNTIFS($D$5:D353,D353,$AU$5:AU353,1)=1,1,0),0)</f>
        <v>0</v>
      </c>
      <c r="AW353" t="str">
        <f>IF(AV353=1,SUM($AV$5:AV353),"")</f>
        <v/>
      </c>
      <c r="AX353" t="str">
        <f>IF(AV353=1,SUMIFS($R$5:$R$504,$D$5:$D$504,D353,$AU$5:$AU$504,1),"")</f>
        <v/>
      </c>
    </row>
    <row r="354">
      <c r="A354" s="20" t="str">
        <f>IF(AG354=1,ROW()-4,"")</f>
        <v/>
      </c>
      <c r="B354" s="21" t="n"/>
      <c r="C354" s="22" t="n"/>
      <c r="D354" s="21" t="n"/>
      <c r="E354" s="22" t="n"/>
      <c r="F354" s="23" t="n"/>
      <c r="G354" s="23" t="n"/>
      <c r="H354" s="23" t="n"/>
      <c r="I354" s="24" t="n"/>
      <c r="J354" s="25" t="n"/>
      <c r="K354" s="25" t="n"/>
      <c r="L354" s="25" t="n"/>
      <c r="M354" s="25" t="n"/>
      <c r="N354" s="26" t="n"/>
      <c r="O354" s="26" t="n"/>
      <c r="P354" s="27" t="str">
        <f>IF(OR(J354="",K354="",I354="",AF354=0,AD354=""),"",(K354-J354)*AF354*I354*AD354*AE354)</f>
        <v/>
      </c>
      <c r="Q354" s="26" t="n"/>
      <c r="R354" s="28" t="str">
        <f>IF(Q354&lt;&gt;"",Q354,IF(P354="","",P354-N(N354)+N(O354)))</f>
        <v/>
      </c>
      <c r="S354" s="27" t="str">
        <f>IF(OR(L354="",J354="",I354="",AD354=""),"",ABS(J354-L354)*I354*AD354*AE354)</f>
        <v/>
      </c>
      <c r="T354" s="29" t="str">
        <f>IF(OR(R354="",S354="",S354=0),"",R354/S354)</f>
        <v/>
      </c>
      <c r="U354" s="20" t="str">
        <f>IF(R354="","",IF(R354&gt;0,"Ganadora",IF(R354&lt;0,"Perdedora","BE")))</f>
        <v/>
      </c>
      <c r="V354" s="23" t="n"/>
      <c r="W354" s="23" t="n"/>
      <c r="X354" s="23" t="n"/>
      <c r="Y354" s="23" t="n"/>
      <c r="Z354" s="23" t="n"/>
      <c r="AA354" s="23" t="n"/>
      <c r="AB354" s="30" t="n"/>
      <c r="AC354" s="1" t="n"/>
      <c r="AD354" s="1" t="str">
        <f>IF(G354="","",IFERROR(INDEX('Listas'!$N$6:$N$35,MATCH(G354,'Listas'!$M$6:$M$35,0)),""))</f>
        <v/>
      </c>
      <c r="AE354">
        <f>IF(G354="",1,IFERROR(INDEX('Listas'!$P$6:$P$35,MATCH(G354,'Listas'!$M$6:$M$35,0)),1))</f>
        <v>1</v>
      </c>
      <c r="AF354">
        <f>IF(H354="Compra",1,IF(H354="Venta",-1,0))</f>
        <v>0</v>
      </c>
      <c r="AG354">
        <f>IF(AND(D354&lt;&gt;"",ISNUMBER(R354)),1,0)</f>
        <v>0</v>
      </c>
      <c r="AH354">
        <f>IF(AG354=0,0,IF(OR('Panel'!$D$5="Todas las cuentas",'Panel'!$D$5="",F354='Panel'!$D$5),1,0))</f>
        <v>0</v>
      </c>
      <c r="AI354">
        <f>IF(AH354=0,0,IF(AND(OR('Panel'!$G$5="",D354&gt;='Panel'!$G$5),OR('Panel'!$J$5="",D354&lt;='Panel'!$J$5)),1,0))</f>
        <v>0</v>
      </c>
      <c r="AJ354">
        <f>IF(AI354=1,R354,0)</f>
        <v>0</v>
      </c>
      <c r="AK354" t="str">
        <f>IF(AI354=1,'Panel'!$AB$4+SUM($AJ$5:AJ354),"")</f>
        <v/>
      </c>
      <c r="AL354">
        <f>IF(AI354=0,N(AL353),IF(R354&lt;0,N(AL353)+1,0))</f>
        <v>1</v>
      </c>
      <c r="AM354">
        <f>IF(AI354=0,N(AM353),IF(R354&gt;0,N(AM353)+1,0))</f>
        <v>0</v>
      </c>
      <c r="AN354">
        <f>IF(AI354=1,MAX('Panel'!$AB$4,N(AN353),AK354),N(AN353))</f>
        <v>21371.061500000033</v>
      </c>
      <c r="AO354">
        <f>IF(AI354=1,AN354-AK354,0)</f>
        <v>0</v>
      </c>
      <c r="AP354">
        <f>IF(AND(AI354=1,AN354&gt;0),AO354/AN354,0)</f>
        <v>0</v>
      </c>
      <c r="AQ354" t="str">
        <f>IF(AI354=1,SUM($AI$5:AI354),"")</f>
        <v/>
      </c>
      <c r="AR354" t="str">
        <f>IF(AI354=1,IF(COUNTIFS($D$5:D354,D354,$AI$5:AI354,1)=1,SUMIFS($AJ$5:$AJ$504,$D$5:$D$504,D354),""),"")</f>
        <v/>
      </c>
      <c r="AS354" t="str">
        <f>IF(AG354=1,WEEKDAY(D354,2),"")</f>
        <v/>
      </c>
      <c r="AT354" s="31" t="str">
        <f>IF(AG354=1,DATE(YEAR(D354),MONTH(D354),1),"")</f>
        <v/>
      </c>
      <c r="AU354">
        <f>IF(AG354=0,0,IF(AND(OR('Prop challenge'!$D$7="",F354='Prop challenge'!$D$7),OR('Prop challenge'!$D$9="",D354&gt;='Prop challenge'!$D$9)),1,0))</f>
        <v>0</v>
      </c>
      <c r="AV354">
        <f>IF(AU354=1,IF(COUNTIFS($D$5:D354,D354,$AU$5:AU354,1)=1,1,0),0)</f>
        <v>0</v>
      </c>
      <c r="AW354" t="str">
        <f>IF(AV354=1,SUM($AV$5:AV354),"")</f>
        <v/>
      </c>
      <c r="AX354" t="str">
        <f>IF(AV354=1,SUMIFS($R$5:$R$504,$D$5:$D$504,D354,$AU$5:$AU$504,1),"")</f>
        <v/>
      </c>
    </row>
    <row r="355">
      <c r="A355" s="20" t="str">
        <f>IF(AG355=1,ROW()-4,"")</f>
        <v/>
      </c>
      <c r="B355" s="21" t="n"/>
      <c r="C355" s="22" t="n"/>
      <c r="D355" s="21" t="n"/>
      <c r="E355" s="22" t="n"/>
      <c r="F355" s="23" t="n"/>
      <c r="G355" s="23" t="n"/>
      <c r="H355" s="23" t="n"/>
      <c r="I355" s="24" t="n"/>
      <c r="J355" s="25" t="n"/>
      <c r="K355" s="25" t="n"/>
      <c r="L355" s="25" t="n"/>
      <c r="M355" s="25" t="n"/>
      <c r="N355" s="26" t="n"/>
      <c r="O355" s="26" t="n"/>
      <c r="P355" s="27" t="str">
        <f>IF(OR(J355="",K355="",I355="",AF355=0,AD355=""),"",(K355-J355)*AF355*I355*AD355*AE355)</f>
        <v/>
      </c>
      <c r="Q355" s="26" t="n"/>
      <c r="R355" s="28" t="str">
        <f>IF(Q355&lt;&gt;"",Q355,IF(P355="","",P355-N(N355)+N(O355)))</f>
        <v/>
      </c>
      <c r="S355" s="27" t="str">
        <f>IF(OR(L355="",J355="",I355="",AD355=""),"",ABS(J355-L355)*I355*AD355*AE355)</f>
        <v/>
      </c>
      <c r="T355" s="29" t="str">
        <f>IF(OR(R355="",S355="",S355=0),"",R355/S355)</f>
        <v/>
      </c>
      <c r="U355" s="20" t="str">
        <f>IF(R355="","",IF(R355&gt;0,"Ganadora",IF(R355&lt;0,"Perdedora","BE")))</f>
        <v/>
      </c>
      <c r="V355" s="23" t="n"/>
      <c r="W355" s="23" t="n"/>
      <c r="X355" s="23" t="n"/>
      <c r="Y355" s="23" t="n"/>
      <c r="Z355" s="23" t="n"/>
      <c r="AA355" s="23" t="n"/>
      <c r="AB355" s="30" t="n"/>
      <c r="AC355" s="1" t="n"/>
      <c r="AD355" s="1" t="str">
        <f>IF(G355="","",IFERROR(INDEX('Listas'!$N$6:$N$35,MATCH(G355,'Listas'!$M$6:$M$35,0)),""))</f>
        <v/>
      </c>
      <c r="AE355">
        <f>IF(G355="",1,IFERROR(INDEX('Listas'!$P$6:$P$35,MATCH(G355,'Listas'!$M$6:$M$35,0)),1))</f>
        <v>1</v>
      </c>
      <c r="AF355">
        <f>IF(H355="Compra",1,IF(H355="Venta",-1,0))</f>
        <v>0</v>
      </c>
      <c r="AG355">
        <f>IF(AND(D355&lt;&gt;"",ISNUMBER(R355)),1,0)</f>
        <v>0</v>
      </c>
      <c r="AH355">
        <f>IF(AG355=0,0,IF(OR('Panel'!$D$5="Todas las cuentas",'Panel'!$D$5="",F355='Panel'!$D$5),1,0))</f>
        <v>0</v>
      </c>
      <c r="AI355">
        <f>IF(AH355=0,0,IF(AND(OR('Panel'!$G$5="",D355&gt;='Panel'!$G$5),OR('Panel'!$J$5="",D355&lt;='Panel'!$J$5)),1,0))</f>
        <v>0</v>
      </c>
      <c r="AJ355">
        <f>IF(AI355=1,R355,0)</f>
        <v>0</v>
      </c>
      <c r="AK355" t="str">
        <f>IF(AI355=1,'Panel'!$AB$4+SUM($AJ$5:AJ355),"")</f>
        <v/>
      </c>
      <c r="AL355">
        <f>IF(AI355=0,N(AL354),IF(R355&lt;0,N(AL354)+1,0))</f>
        <v>1</v>
      </c>
      <c r="AM355">
        <f>IF(AI355=0,N(AM354),IF(R355&gt;0,N(AM354)+1,0))</f>
        <v>0</v>
      </c>
      <c r="AN355">
        <f>IF(AI355=1,MAX('Panel'!$AB$4,N(AN354),AK355),N(AN354))</f>
        <v>21371.061500000033</v>
      </c>
      <c r="AO355">
        <f>IF(AI355=1,AN355-AK355,0)</f>
        <v>0</v>
      </c>
      <c r="AP355">
        <f>IF(AND(AI355=1,AN355&gt;0),AO355/AN355,0)</f>
        <v>0</v>
      </c>
      <c r="AQ355" t="str">
        <f>IF(AI355=1,SUM($AI$5:AI355),"")</f>
        <v/>
      </c>
      <c r="AR355" t="str">
        <f>IF(AI355=1,IF(COUNTIFS($D$5:D355,D355,$AI$5:AI355,1)=1,SUMIFS($AJ$5:$AJ$504,$D$5:$D$504,D355),""),"")</f>
        <v/>
      </c>
      <c r="AS355" t="str">
        <f>IF(AG355=1,WEEKDAY(D355,2),"")</f>
        <v/>
      </c>
      <c r="AT355" s="31" t="str">
        <f>IF(AG355=1,DATE(YEAR(D355),MONTH(D355),1),"")</f>
        <v/>
      </c>
      <c r="AU355">
        <f>IF(AG355=0,0,IF(AND(OR('Prop challenge'!$D$7="",F355='Prop challenge'!$D$7),OR('Prop challenge'!$D$9="",D355&gt;='Prop challenge'!$D$9)),1,0))</f>
        <v>0</v>
      </c>
      <c r="AV355">
        <f>IF(AU355=1,IF(COUNTIFS($D$5:D355,D355,$AU$5:AU355,1)=1,1,0),0)</f>
        <v>0</v>
      </c>
      <c r="AW355" t="str">
        <f>IF(AV355=1,SUM($AV$5:AV355),"")</f>
        <v/>
      </c>
      <c r="AX355" t="str">
        <f>IF(AV355=1,SUMIFS($R$5:$R$504,$D$5:$D$504,D355,$AU$5:$AU$504,1),"")</f>
        <v/>
      </c>
    </row>
    <row r="356">
      <c r="A356" s="20" t="str">
        <f>IF(AG356=1,ROW()-4,"")</f>
        <v/>
      </c>
      <c r="B356" s="21" t="n"/>
      <c r="C356" s="22" t="n"/>
      <c r="D356" s="21" t="n"/>
      <c r="E356" s="22" t="n"/>
      <c r="F356" s="23" t="n"/>
      <c r="G356" s="23" t="n"/>
      <c r="H356" s="23" t="n"/>
      <c r="I356" s="24" t="n"/>
      <c r="J356" s="25" t="n"/>
      <c r="K356" s="25" t="n"/>
      <c r="L356" s="25" t="n"/>
      <c r="M356" s="25" t="n"/>
      <c r="N356" s="26" t="n"/>
      <c r="O356" s="26" t="n"/>
      <c r="P356" s="27" t="str">
        <f>IF(OR(J356="",K356="",I356="",AF356=0,AD356=""),"",(K356-J356)*AF356*I356*AD356*AE356)</f>
        <v/>
      </c>
      <c r="Q356" s="26" t="n"/>
      <c r="R356" s="28" t="str">
        <f>IF(Q356&lt;&gt;"",Q356,IF(P356="","",P356-N(N356)+N(O356)))</f>
        <v/>
      </c>
      <c r="S356" s="27" t="str">
        <f>IF(OR(L356="",J356="",I356="",AD356=""),"",ABS(J356-L356)*I356*AD356*AE356)</f>
        <v/>
      </c>
      <c r="T356" s="29" t="str">
        <f>IF(OR(R356="",S356="",S356=0),"",R356/S356)</f>
        <v/>
      </c>
      <c r="U356" s="20" t="str">
        <f>IF(R356="","",IF(R356&gt;0,"Ganadora",IF(R356&lt;0,"Perdedora","BE")))</f>
        <v/>
      </c>
      <c r="V356" s="23" t="n"/>
      <c r="W356" s="23" t="n"/>
      <c r="X356" s="23" t="n"/>
      <c r="Y356" s="23" t="n"/>
      <c r="Z356" s="23" t="n"/>
      <c r="AA356" s="23" t="n"/>
      <c r="AB356" s="30" t="n"/>
      <c r="AC356" s="1" t="n"/>
      <c r="AD356" s="1" t="str">
        <f>IF(G356="","",IFERROR(INDEX('Listas'!$N$6:$N$35,MATCH(G356,'Listas'!$M$6:$M$35,0)),""))</f>
        <v/>
      </c>
      <c r="AE356">
        <f>IF(G356="",1,IFERROR(INDEX('Listas'!$P$6:$P$35,MATCH(G356,'Listas'!$M$6:$M$35,0)),1))</f>
        <v>1</v>
      </c>
      <c r="AF356">
        <f>IF(H356="Compra",1,IF(H356="Venta",-1,0))</f>
        <v>0</v>
      </c>
      <c r="AG356">
        <f>IF(AND(D356&lt;&gt;"",ISNUMBER(R356)),1,0)</f>
        <v>0</v>
      </c>
      <c r="AH356">
        <f>IF(AG356=0,0,IF(OR('Panel'!$D$5="Todas las cuentas",'Panel'!$D$5="",F356='Panel'!$D$5),1,0))</f>
        <v>0</v>
      </c>
      <c r="AI356">
        <f>IF(AH356=0,0,IF(AND(OR('Panel'!$G$5="",D356&gt;='Panel'!$G$5),OR('Panel'!$J$5="",D356&lt;='Panel'!$J$5)),1,0))</f>
        <v>0</v>
      </c>
      <c r="AJ356">
        <f>IF(AI356=1,R356,0)</f>
        <v>0</v>
      </c>
      <c r="AK356" t="str">
        <f>IF(AI356=1,'Panel'!$AB$4+SUM($AJ$5:AJ356),"")</f>
        <v/>
      </c>
      <c r="AL356">
        <f>IF(AI356=0,N(AL355),IF(R356&lt;0,N(AL355)+1,0))</f>
        <v>1</v>
      </c>
      <c r="AM356">
        <f>IF(AI356=0,N(AM355),IF(R356&gt;0,N(AM355)+1,0))</f>
        <v>0</v>
      </c>
      <c r="AN356">
        <f>IF(AI356=1,MAX('Panel'!$AB$4,N(AN355),AK356),N(AN355))</f>
        <v>21371.061500000033</v>
      </c>
      <c r="AO356">
        <f>IF(AI356=1,AN356-AK356,0)</f>
        <v>0</v>
      </c>
      <c r="AP356">
        <f>IF(AND(AI356=1,AN356&gt;0),AO356/AN356,0)</f>
        <v>0</v>
      </c>
      <c r="AQ356" t="str">
        <f>IF(AI356=1,SUM($AI$5:AI356),"")</f>
        <v/>
      </c>
      <c r="AR356" t="str">
        <f>IF(AI356=1,IF(COUNTIFS($D$5:D356,D356,$AI$5:AI356,1)=1,SUMIFS($AJ$5:$AJ$504,$D$5:$D$504,D356),""),"")</f>
        <v/>
      </c>
      <c r="AS356" t="str">
        <f>IF(AG356=1,WEEKDAY(D356,2),"")</f>
        <v/>
      </c>
      <c r="AT356" s="31" t="str">
        <f>IF(AG356=1,DATE(YEAR(D356),MONTH(D356),1),"")</f>
        <v/>
      </c>
      <c r="AU356">
        <f>IF(AG356=0,0,IF(AND(OR('Prop challenge'!$D$7="",F356='Prop challenge'!$D$7),OR('Prop challenge'!$D$9="",D356&gt;='Prop challenge'!$D$9)),1,0))</f>
        <v>0</v>
      </c>
      <c r="AV356">
        <f>IF(AU356=1,IF(COUNTIFS($D$5:D356,D356,$AU$5:AU356,1)=1,1,0),0)</f>
        <v>0</v>
      </c>
      <c r="AW356" t="str">
        <f>IF(AV356=1,SUM($AV$5:AV356),"")</f>
        <v/>
      </c>
      <c r="AX356" t="str">
        <f>IF(AV356=1,SUMIFS($R$5:$R$504,$D$5:$D$504,D356,$AU$5:$AU$504,1),"")</f>
        <v/>
      </c>
    </row>
    <row r="357">
      <c r="A357" s="20" t="str">
        <f>IF(AG357=1,ROW()-4,"")</f>
        <v/>
      </c>
      <c r="B357" s="21" t="n"/>
      <c r="C357" s="22" t="n"/>
      <c r="D357" s="21" t="n"/>
      <c r="E357" s="22" t="n"/>
      <c r="F357" s="23" t="n"/>
      <c r="G357" s="23" t="n"/>
      <c r="H357" s="23" t="n"/>
      <c r="I357" s="24" t="n"/>
      <c r="J357" s="25" t="n"/>
      <c r="K357" s="25" t="n"/>
      <c r="L357" s="25" t="n"/>
      <c r="M357" s="25" t="n"/>
      <c r="N357" s="26" t="n"/>
      <c r="O357" s="26" t="n"/>
      <c r="P357" s="27" t="str">
        <f>IF(OR(J357="",K357="",I357="",AF357=0,AD357=""),"",(K357-J357)*AF357*I357*AD357*AE357)</f>
        <v/>
      </c>
      <c r="Q357" s="26" t="n"/>
      <c r="R357" s="28" t="str">
        <f>IF(Q357&lt;&gt;"",Q357,IF(P357="","",P357-N(N357)+N(O357)))</f>
        <v/>
      </c>
      <c r="S357" s="27" t="str">
        <f>IF(OR(L357="",J357="",I357="",AD357=""),"",ABS(J357-L357)*I357*AD357*AE357)</f>
        <v/>
      </c>
      <c r="T357" s="29" t="str">
        <f>IF(OR(R357="",S357="",S357=0),"",R357/S357)</f>
        <v/>
      </c>
      <c r="U357" s="20" t="str">
        <f>IF(R357="","",IF(R357&gt;0,"Ganadora",IF(R357&lt;0,"Perdedora","BE")))</f>
        <v/>
      </c>
      <c r="V357" s="23" t="n"/>
      <c r="W357" s="23" t="n"/>
      <c r="X357" s="23" t="n"/>
      <c r="Y357" s="23" t="n"/>
      <c r="Z357" s="23" t="n"/>
      <c r="AA357" s="23" t="n"/>
      <c r="AB357" s="30" t="n"/>
      <c r="AC357" s="1" t="n"/>
      <c r="AD357" s="1" t="str">
        <f>IF(G357="","",IFERROR(INDEX('Listas'!$N$6:$N$35,MATCH(G357,'Listas'!$M$6:$M$35,0)),""))</f>
        <v/>
      </c>
      <c r="AE357">
        <f>IF(G357="",1,IFERROR(INDEX('Listas'!$P$6:$P$35,MATCH(G357,'Listas'!$M$6:$M$35,0)),1))</f>
        <v>1</v>
      </c>
      <c r="AF357">
        <f>IF(H357="Compra",1,IF(H357="Venta",-1,0))</f>
        <v>0</v>
      </c>
      <c r="AG357">
        <f>IF(AND(D357&lt;&gt;"",ISNUMBER(R357)),1,0)</f>
        <v>0</v>
      </c>
      <c r="AH357">
        <f>IF(AG357=0,0,IF(OR('Panel'!$D$5="Todas las cuentas",'Panel'!$D$5="",F357='Panel'!$D$5),1,0))</f>
        <v>0</v>
      </c>
      <c r="AI357">
        <f>IF(AH357=0,0,IF(AND(OR('Panel'!$G$5="",D357&gt;='Panel'!$G$5),OR('Panel'!$J$5="",D357&lt;='Panel'!$J$5)),1,0))</f>
        <v>0</v>
      </c>
      <c r="AJ357">
        <f>IF(AI357=1,R357,0)</f>
        <v>0</v>
      </c>
      <c r="AK357" t="str">
        <f>IF(AI357=1,'Panel'!$AB$4+SUM($AJ$5:AJ357),"")</f>
        <v/>
      </c>
      <c r="AL357">
        <f>IF(AI357=0,N(AL356),IF(R357&lt;0,N(AL356)+1,0))</f>
        <v>1</v>
      </c>
      <c r="AM357">
        <f>IF(AI357=0,N(AM356),IF(R357&gt;0,N(AM356)+1,0))</f>
        <v>0</v>
      </c>
      <c r="AN357">
        <f>IF(AI357=1,MAX('Panel'!$AB$4,N(AN356),AK357),N(AN356))</f>
        <v>21371.061500000033</v>
      </c>
      <c r="AO357">
        <f>IF(AI357=1,AN357-AK357,0)</f>
        <v>0</v>
      </c>
      <c r="AP357">
        <f>IF(AND(AI357=1,AN357&gt;0),AO357/AN357,0)</f>
        <v>0</v>
      </c>
      <c r="AQ357" t="str">
        <f>IF(AI357=1,SUM($AI$5:AI357),"")</f>
        <v/>
      </c>
      <c r="AR357" t="str">
        <f>IF(AI357=1,IF(COUNTIFS($D$5:D357,D357,$AI$5:AI357,1)=1,SUMIFS($AJ$5:$AJ$504,$D$5:$D$504,D357),""),"")</f>
        <v/>
      </c>
      <c r="AS357" t="str">
        <f>IF(AG357=1,WEEKDAY(D357,2),"")</f>
        <v/>
      </c>
      <c r="AT357" s="31" t="str">
        <f>IF(AG357=1,DATE(YEAR(D357),MONTH(D357),1),"")</f>
        <v/>
      </c>
      <c r="AU357">
        <f>IF(AG357=0,0,IF(AND(OR('Prop challenge'!$D$7="",F357='Prop challenge'!$D$7),OR('Prop challenge'!$D$9="",D357&gt;='Prop challenge'!$D$9)),1,0))</f>
        <v>0</v>
      </c>
      <c r="AV357">
        <f>IF(AU357=1,IF(COUNTIFS($D$5:D357,D357,$AU$5:AU357,1)=1,1,0),0)</f>
        <v>0</v>
      </c>
      <c r="AW357" t="str">
        <f>IF(AV357=1,SUM($AV$5:AV357),"")</f>
        <v/>
      </c>
      <c r="AX357" t="str">
        <f>IF(AV357=1,SUMIFS($R$5:$R$504,$D$5:$D$504,D357,$AU$5:$AU$504,1),"")</f>
        <v/>
      </c>
    </row>
    <row r="358">
      <c r="A358" s="20" t="str">
        <f>IF(AG358=1,ROW()-4,"")</f>
        <v/>
      </c>
      <c r="B358" s="21" t="n"/>
      <c r="C358" s="22" t="n"/>
      <c r="D358" s="21" t="n"/>
      <c r="E358" s="22" t="n"/>
      <c r="F358" s="23" t="n"/>
      <c r="G358" s="23" t="n"/>
      <c r="H358" s="23" t="n"/>
      <c r="I358" s="24" t="n"/>
      <c r="J358" s="25" t="n"/>
      <c r="K358" s="25" t="n"/>
      <c r="L358" s="25" t="n"/>
      <c r="M358" s="25" t="n"/>
      <c r="N358" s="26" t="n"/>
      <c r="O358" s="26" t="n"/>
      <c r="P358" s="27" t="str">
        <f>IF(OR(J358="",K358="",I358="",AF358=0,AD358=""),"",(K358-J358)*AF358*I358*AD358*AE358)</f>
        <v/>
      </c>
      <c r="Q358" s="26" t="n"/>
      <c r="R358" s="28" t="str">
        <f>IF(Q358&lt;&gt;"",Q358,IF(P358="","",P358-N(N358)+N(O358)))</f>
        <v/>
      </c>
      <c r="S358" s="27" t="str">
        <f>IF(OR(L358="",J358="",I358="",AD358=""),"",ABS(J358-L358)*I358*AD358*AE358)</f>
        <v/>
      </c>
      <c r="T358" s="29" t="str">
        <f>IF(OR(R358="",S358="",S358=0),"",R358/S358)</f>
        <v/>
      </c>
      <c r="U358" s="20" t="str">
        <f>IF(R358="","",IF(R358&gt;0,"Ganadora",IF(R358&lt;0,"Perdedora","BE")))</f>
        <v/>
      </c>
      <c r="V358" s="23" t="n"/>
      <c r="W358" s="23" t="n"/>
      <c r="X358" s="23" t="n"/>
      <c r="Y358" s="23" t="n"/>
      <c r="Z358" s="23" t="n"/>
      <c r="AA358" s="23" t="n"/>
      <c r="AB358" s="30" t="n"/>
      <c r="AC358" s="1" t="n"/>
      <c r="AD358" s="1" t="str">
        <f>IF(G358="","",IFERROR(INDEX('Listas'!$N$6:$N$35,MATCH(G358,'Listas'!$M$6:$M$35,0)),""))</f>
        <v/>
      </c>
      <c r="AE358">
        <f>IF(G358="",1,IFERROR(INDEX('Listas'!$P$6:$P$35,MATCH(G358,'Listas'!$M$6:$M$35,0)),1))</f>
        <v>1</v>
      </c>
      <c r="AF358">
        <f>IF(H358="Compra",1,IF(H358="Venta",-1,0))</f>
        <v>0</v>
      </c>
      <c r="AG358">
        <f>IF(AND(D358&lt;&gt;"",ISNUMBER(R358)),1,0)</f>
        <v>0</v>
      </c>
      <c r="AH358">
        <f>IF(AG358=0,0,IF(OR('Panel'!$D$5="Todas las cuentas",'Panel'!$D$5="",F358='Panel'!$D$5),1,0))</f>
        <v>0</v>
      </c>
      <c r="AI358">
        <f>IF(AH358=0,0,IF(AND(OR('Panel'!$G$5="",D358&gt;='Panel'!$G$5),OR('Panel'!$J$5="",D358&lt;='Panel'!$J$5)),1,0))</f>
        <v>0</v>
      </c>
      <c r="AJ358">
        <f>IF(AI358=1,R358,0)</f>
        <v>0</v>
      </c>
      <c r="AK358" t="str">
        <f>IF(AI358=1,'Panel'!$AB$4+SUM($AJ$5:AJ358),"")</f>
        <v/>
      </c>
      <c r="AL358">
        <f>IF(AI358=0,N(AL357),IF(R358&lt;0,N(AL357)+1,0))</f>
        <v>1</v>
      </c>
      <c r="AM358">
        <f>IF(AI358=0,N(AM357),IF(R358&gt;0,N(AM357)+1,0))</f>
        <v>0</v>
      </c>
      <c r="AN358">
        <f>IF(AI358=1,MAX('Panel'!$AB$4,N(AN357),AK358),N(AN357))</f>
        <v>21371.061500000033</v>
      </c>
      <c r="AO358">
        <f>IF(AI358=1,AN358-AK358,0)</f>
        <v>0</v>
      </c>
      <c r="AP358">
        <f>IF(AND(AI358=1,AN358&gt;0),AO358/AN358,0)</f>
        <v>0</v>
      </c>
      <c r="AQ358" t="str">
        <f>IF(AI358=1,SUM($AI$5:AI358),"")</f>
        <v/>
      </c>
      <c r="AR358" t="str">
        <f>IF(AI358=1,IF(COUNTIFS($D$5:D358,D358,$AI$5:AI358,1)=1,SUMIFS($AJ$5:$AJ$504,$D$5:$D$504,D358),""),"")</f>
        <v/>
      </c>
      <c r="AS358" t="str">
        <f>IF(AG358=1,WEEKDAY(D358,2),"")</f>
        <v/>
      </c>
      <c r="AT358" s="31" t="str">
        <f>IF(AG358=1,DATE(YEAR(D358),MONTH(D358),1),"")</f>
        <v/>
      </c>
      <c r="AU358">
        <f>IF(AG358=0,0,IF(AND(OR('Prop challenge'!$D$7="",F358='Prop challenge'!$D$7),OR('Prop challenge'!$D$9="",D358&gt;='Prop challenge'!$D$9)),1,0))</f>
        <v>0</v>
      </c>
      <c r="AV358">
        <f>IF(AU358=1,IF(COUNTIFS($D$5:D358,D358,$AU$5:AU358,1)=1,1,0),0)</f>
        <v>0</v>
      </c>
      <c r="AW358" t="str">
        <f>IF(AV358=1,SUM($AV$5:AV358),"")</f>
        <v/>
      </c>
      <c r="AX358" t="str">
        <f>IF(AV358=1,SUMIFS($R$5:$R$504,$D$5:$D$504,D358,$AU$5:$AU$504,1),"")</f>
        <v/>
      </c>
    </row>
    <row r="359">
      <c r="A359" s="20" t="str">
        <f>IF(AG359=1,ROW()-4,"")</f>
        <v/>
      </c>
      <c r="B359" s="21" t="n"/>
      <c r="C359" s="22" t="n"/>
      <c r="D359" s="21" t="n"/>
      <c r="E359" s="22" t="n"/>
      <c r="F359" s="23" t="n"/>
      <c r="G359" s="23" t="n"/>
      <c r="H359" s="23" t="n"/>
      <c r="I359" s="24" t="n"/>
      <c r="J359" s="25" t="n"/>
      <c r="K359" s="25" t="n"/>
      <c r="L359" s="25" t="n"/>
      <c r="M359" s="25" t="n"/>
      <c r="N359" s="26" t="n"/>
      <c r="O359" s="26" t="n"/>
      <c r="P359" s="27" t="str">
        <f>IF(OR(J359="",K359="",I359="",AF359=0,AD359=""),"",(K359-J359)*AF359*I359*AD359*AE359)</f>
        <v/>
      </c>
      <c r="Q359" s="26" t="n"/>
      <c r="R359" s="28" t="str">
        <f>IF(Q359&lt;&gt;"",Q359,IF(P359="","",P359-N(N359)+N(O359)))</f>
        <v/>
      </c>
      <c r="S359" s="27" t="str">
        <f>IF(OR(L359="",J359="",I359="",AD359=""),"",ABS(J359-L359)*I359*AD359*AE359)</f>
        <v/>
      </c>
      <c r="T359" s="29" t="str">
        <f>IF(OR(R359="",S359="",S359=0),"",R359/S359)</f>
        <v/>
      </c>
      <c r="U359" s="20" t="str">
        <f>IF(R359="","",IF(R359&gt;0,"Ganadora",IF(R359&lt;0,"Perdedora","BE")))</f>
        <v/>
      </c>
      <c r="V359" s="23" t="n"/>
      <c r="W359" s="23" t="n"/>
      <c r="X359" s="23" t="n"/>
      <c r="Y359" s="23" t="n"/>
      <c r="Z359" s="23" t="n"/>
      <c r="AA359" s="23" t="n"/>
      <c r="AB359" s="30" t="n"/>
      <c r="AC359" s="1" t="n"/>
      <c r="AD359" s="1" t="str">
        <f>IF(G359="","",IFERROR(INDEX('Listas'!$N$6:$N$35,MATCH(G359,'Listas'!$M$6:$M$35,0)),""))</f>
        <v/>
      </c>
      <c r="AE359">
        <f>IF(G359="",1,IFERROR(INDEX('Listas'!$P$6:$P$35,MATCH(G359,'Listas'!$M$6:$M$35,0)),1))</f>
        <v>1</v>
      </c>
      <c r="AF359">
        <f>IF(H359="Compra",1,IF(H359="Venta",-1,0))</f>
        <v>0</v>
      </c>
      <c r="AG359">
        <f>IF(AND(D359&lt;&gt;"",ISNUMBER(R359)),1,0)</f>
        <v>0</v>
      </c>
      <c r="AH359">
        <f>IF(AG359=0,0,IF(OR('Panel'!$D$5="Todas las cuentas",'Panel'!$D$5="",F359='Panel'!$D$5),1,0))</f>
        <v>0</v>
      </c>
      <c r="AI359">
        <f>IF(AH359=0,0,IF(AND(OR('Panel'!$G$5="",D359&gt;='Panel'!$G$5),OR('Panel'!$J$5="",D359&lt;='Panel'!$J$5)),1,0))</f>
        <v>0</v>
      </c>
      <c r="AJ359">
        <f>IF(AI359=1,R359,0)</f>
        <v>0</v>
      </c>
      <c r="AK359" t="str">
        <f>IF(AI359=1,'Panel'!$AB$4+SUM($AJ$5:AJ359),"")</f>
        <v/>
      </c>
      <c r="AL359">
        <f>IF(AI359=0,N(AL358),IF(R359&lt;0,N(AL358)+1,0))</f>
        <v>1</v>
      </c>
      <c r="AM359">
        <f>IF(AI359=0,N(AM358),IF(R359&gt;0,N(AM358)+1,0))</f>
        <v>0</v>
      </c>
      <c r="AN359">
        <f>IF(AI359=1,MAX('Panel'!$AB$4,N(AN358),AK359),N(AN358))</f>
        <v>21371.061500000033</v>
      </c>
      <c r="AO359">
        <f>IF(AI359=1,AN359-AK359,0)</f>
        <v>0</v>
      </c>
      <c r="AP359">
        <f>IF(AND(AI359=1,AN359&gt;0),AO359/AN359,0)</f>
        <v>0</v>
      </c>
      <c r="AQ359" t="str">
        <f>IF(AI359=1,SUM($AI$5:AI359),"")</f>
        <v/>
      </c>
      <c r="AR359" t="str">
        <f>IF(AI359=1,IF(COUNTIFS($D$5:D359,D359,$AI$5:AI359,1)=1,SUMIFS($AJ$5:$AJ$504,$D$5:$D$504,D359),""),"")</f>
        <v/>
      </c>
      <c r="AS359" t="str">
        <f>IF(AG359=1,WEEKDAY(D359,2),"")</f>
        <v/>
      </c>
      <c r="AT359" s="31" t="str">
        <f>IF(AG359=1,DATE(YEAR(D359),MONTH(D359),1),"")</f>
        <v/>
      </c>
      <c r="AU359">
        <f>IF(AG359=0,0,IF(AND(OR('Prop challenge'!$D$7="",F359='Prop challenge'!$D$7),OR('Prop challenge'!$D$9="",D359&gt;='Prop challenge'!$D$9)),1,0))</f>
        <v>0</v>
      </c>
      <c r="AV359">
        <f>IF(AU359=1,IF(COUNTIFS($D$5:D359,D359,$AU$5:AU359,1)=1,1,0),0)</f>
        <v>0</v>
      </c>
      <c r="AW359" t="str">
        <f>IF(AV359=1,SUM($AV$5:AV359),"")</f>
        <v/>
      </c>
      <c r="AX359" t="str">
        <f>IF(AV359=1,SUMIFS($R$5:$R$504,$D$5:$D$504,D359,$AU$5:$AU$504,1),"")</f>
        <v/>
      </c>
    </row>
    <row r="360">
      <c r="A360" s="20" t="str">
        <f>IF(AG360=1,ROW()-4,"")</f>
        <v/>
      </c>
      <c r="B360" s="21" t="n"/>
      <c r="C360" s="22" t="n"/>
      <c r="D360" s="21" t="n"/>
      <c r="E360" s="22" t="n"/>
      <c r="F360" s="23" t="n"/>
      <c r="G360" s="23" t="n"/>
      <c r="H360" s="23" t="n"/>
      <c r="I360" s="24" t="n"/>
      <c r="J360" s="25" t="n"/>
      <c r="K360" s="25" t="n"/>
      <c r="L360" s="25" t="n"/>
      <c r="M360" s="25" t="n"/>
      <c r="N360" s="26" t="n"/>
      <c r="O360" s="26" t="n"/>
      <c r="P360" s="27" t="str">
        <f>IF(OR(J360="",K360="",I360="",AF360=0,AD360=""),"",(K360-J360)*AF360*I360*AD360*AE360)</f>
        <v/>
      </c>
      <c r="Q360" s="26" t="n"/>
      <c r="R360" s="28" t="str">
        <f>IF(Q360&lt;&gt;"",Q360,IF(P360="","",P360-N(N360)+N(O360)))</f>
        <v/>
      </c>
      <c r="S360" s="27" t="str">
        <f>IF(OR(L360="",J360="",I360="",AD360=""),"",ABS(J360-L360)*I360*AD360*AE360)</f>
        <v/>
      </c>
      <c r="T360" s="29" t="str">
        <f>IF(OR(R360="",S360="",S360=0),"",R360/S360)</f>
        <v/>
      </c>
      <c r="U360" s="20" t="str">
        <f>IF(R360="","",IF(R360&gt;0,"Ganadora",IF(R360&lt;0,"Perdedora","BE")))</f>
        <v/>
      </c>
      <c r="V360" s="23" t="n"/>
      <c r="W360" s="23" t="n"/>
      <c r="X360" s="23" t="n"/>
      <c r="Y360" s="23" t="n"/>
      <c r="Z360" s="23" t="n"/>
      <c r="AA360" s="23" t="n"/>
      <c r="AB360" s="30" t="n"/>
      <c r="AC360" s="1" t="n"/>
      <c r="AD360" s="1" t="str">
        <f>IF(G360="","",IFERROR(INDEX('Listas'!$N$6:$N$35,MATCH(G360,'Listas'!$M$6:$M$35,0)),""))</f>
        <v/>
      </c>
      <c r="AE360">
        <f>IF(G360="",1,IFERROR(INDEX('Listas'!$P$6:$P$35,MATCH(G360,'Listas'!$M$6:$M$35,0)),1))</f>
        <v>1</v>
      </c>
      <c r="AF360">
        <f>IF(H360="Compra",1,IF(H360="Venta",-1,0))</f>
        <v>0</v>
      </c>
      <c r="AG360">
        <f>IF(AND(D360&lt;&gt;"",ISNUMBER(R360)),1,0)</f>
        <v>0</v>
      </c>
      <c r="AH360">
        <f>IF(AG360=0,0,IF(OR('Panel'!$D$5="Todas las cuentas",'Panel'!$D$5="",F360='Panel'!$D$5),1,0))</f>
        <v>0</v>
      </c>
      <c r="AI360">
        <f>IF(AH360=0,0,IF(AND(OR('Panel'!$G$5="",D360&gt;='Panel'!$G$5),OR('Panel'!$J$5="",D360&lt;='Panel'!$J$5)),1,0))</f>
        <v>0</v>
      </c>
      <c r="AJ360">
        <f>IF(AI360=1,R360,0)</f>
        <v>0</v>
      </c>
      <c r="AK360" t="str">
        <f>IF(AI360=1,'Panel'!$AB$4+SUM($AJ$5:AJ360),"")</f>
        <v/>
      </c>
      <c r="AL360">
        <f>IF(AI360=0,N(AL359),IF(R360&lt;0,N(AL359)+1,0))</f>
        <v>1</v>
      </c>
      <c r="AM360">
        <f>IF(AI360=0,N(AM359),IF(R360&gt;0,N(AM359)+1,0))</f>
        <v>0</v>
      </c>
      <c r="AN360">
        <f>IF(AI360=1,MAX('Panel'!$AB$4,N(AN359),AK360),N(AN359))</f>
        <v>21371.061500000033</v>
      </c>
      <c r="AO360">
        <f>IF(AI360=1,AN360-AK360,0)</f>
        <v>0</v>
      </c>
      <c r="AP360">
        <f>IF(AND(AI360=1,AN360&gt;0),AO360/AN360,0)</f>
        <v>0</v>
      </c>
      <c r="AQ360" t="str">
        <f>IF(AI360=1,SUM($AI$5:AI360),"")</f>
        <v/>
      </c>
      <c r="AR360" t="str">
        <f>IF(AI360=1,IF(COUNTIFS($D$5:D360,D360,$AI$5:AI360,1)=1,SUMIFS($AJ$5:$AJ$504,$D$5:$D$504,D360),""),"")</f>
        <v/>
      </c>
      <c r="AS360" t="str">
        <f>IF(AG360=1,WEEKDAY(D360,2),"")</f>
        <v/>
      </c>
      <c r="AT360" s="31" t="str">
        <f>IF(AG360=1,DATE(YEAR(D360),MONTH(D360),1),"")</f>
        <v/>
      </c>
      <c r="AU360">
        <f>IF(AG360=0,0,IF(AND(OR('Prop challenge'!$D$7="",F360='Prop challenge'!$D$7),OR('Prop challenge'!$D$9="",D360&gt;='Prop challenge'!$D$9)),1,0))</f>
        <v>0</v>
      </c>
      <c r="AV360">
        <f>IF(AU360=1,IF(COUNTIFS($D$5:D360,D360,$AU$5:AU360,1)=1,1,0),0)</f>
        <v>0</v>
      </c>
      <c r="AW360" t="str">
        <f>IF(AV360=1,SUM($AV$5:AV360),"")</f>
        <v/>
      </c>
      <c r="AX360" t="str">
        <f>IF(AV360=1,SUMIFS($R$5:$R$504,$D$5:$D$504,D360,$AU$5:$AU$504,1),"")</f>
        <v/>
      </c>
    </row>
    <row r="361">
      <c r="A361" s="20" t="str">
        <f>IF(AG361=1,ROW()-4,"")</f>
        <v/>
      </c>
      <c r="B361" s="21" t="n"/>
      <c r="C361" s="22" t="n"/>
      <c r="D361" s="21" t="n"/>
      <c r="E361" s="22" t="n"/>
      <c r="F361" s="23" t="n"/>
      <c r="G361" s="23" t="n"/>
      <c r="H361" s="23" t="n"/>
      <c r="I361" s="24" t="n"/>
      <c r="J361" s="25" t="n"/>
      <c r="K361" s="25" t="n"/>
      <c r="L361" s="25" t="n"/>
      <c r="M361" s="25" t="n"/>
      <c r="N361" s="26" t="n"/>
      <c r="O361" s="26" t="n"/>
      <c r="P361" s="27" t="str">
        <f>IF(OR(J361="",K361="",I361="",AF361=0,AD361=""),"",(K361-J361)*AF361*I361*AD361*AE361)</f>
        <v/>
      </c>
      <c r="Q361" s="26" t="n"/>
      <c r="R361" s="28" t="str">
        <f>IF(Q361&lt;&gt;"",Q361,IF(P361="","",P361-N(N361)+N(O361)))</f>
        <v/>
      </c>
      <c r="S361" s="27" t="str">
        <f>IF(OR(L361="",J361="",I361="",AD361=""),"",ABS(J361-L361)*I361*AD361*AE361)</f>
        <v/>
      </c>
      <c r="T361" s="29" t="str">
        <f>IF(OR(R361="",S361="",S361=0),"",R361/S361)</f>
        <v/>
      </c>
      <c r="U361" s="20" t="str">
        <f>IF(R361="","",IF(R361&gt;0,"Ganadora",IF(R361&lt;0,"Perdedora","BE")))</f>
        <v/>
      </c>
      <c r="V361" s="23" t="n"/>
      <c r="W361" s="23" t="n"/>
      <c r="X361" s="23" t="n"/>
      <c r="Y361" s="23" t="n"/>
      <c r="Z361" s="23" t="n"/>
      <c r="AA361" s="23" t="n"/>
      <c r="AB361" s="30" t="n"/>
      <c r="AC361" s="1" t="n"/>
      <c r="AD361" s="1" t="str">
        <f>IF(G361="","",IFERROR(INDEX('Listas'!$N$6:$N$35,MATCH(G361,'Listas'!$M$6:$M$35,0)),""))</f>
        <v/>
      </c>
      <c r="AE361">
        <f>IF(G361="",1,IFERROR(INDEX('Listas'!$P$6:$P$35,MATCH(G361,'Listas'!$M$6:$M$35,0)),1))</f>
        <v>1</v>
      </c>
      <c r="AF361">
        <f>IF(H361="Compra",1,IF(H361="Venta",-1,0))</f>
        <v>0</v>
      </c>
      <c r="AG361">
        <f>IF(AND(D361&lt;&gt;"",ISNUMBER(R361)),1,0)</f>
        <v>0</v>
      </c>
      <c r="AH361">
        <f>IF(AG361=0,0,IF(OR('Panel'!$D$5="Todas las cuentas",'Panel'!$D$5="",F361='Panel'!$D$5),1,0))</f>
        <v>0</v>
      </c>
      <c r="AI361">
        <f>IF(AH361=0,0,IF(AND(OR('Panel'!$G$5="",D361&gt;='Panel'!$G$5),OR('Panel'!$J$5="",D361&lt;='Panel'!$J$5)),1,0))</f>
        <v>0</v>
      </c>
      <c r="AJ361">
        <f>IF(AI361=1,R361,0)</f>
        <v>0</v>
      </c>
      <c r="AK361" t="str">
        <f>IF(AI361=1,'Panel'!$AB$4+SUM($AJ$5:AJ361),"")</f>
        <v/>
      </c>
      <c r="AL361">
        <f>IF(AI361=0,N(AL360),IF(R361&lt;0,N(AL360)+1,0))</f>
        <v>1</v>
      </c>
      <c r="AM361">
        <f>IF(AI361=0,N(AM360),IF(R361&gt;0,N(AM360)+1,0))</f>
        <v>0</v>
      </c>
      <c r="AN361">
        <f>IF(AI361=1,MAX('Panel'!$AB$4,N(AN360),AK361),N(AN360))</f>
        <v>21371.061500000033</v>
      </c>
      <c r="AO361">
        <f>IF(AI361=1,AN361-AK361,0)</f>
        <v>0</v>
      </c>
      <c r="AP361">
        <f>IF(AND(AI361=1,AN361&gt;0),AO361/AN361,0)</f>
        <v>0</v>
      </c>
      <c r="AQ361" t="str">
        <f>IF(AI361=1,SUM($AI$5:AI361),"")</f>
        <v/>
      </c>
      <c r="AR361" t="str">
        <f>IF(AI361=1,IF(COUNTIFS($D$5:D361,D361,$AI$5:AI361,1)=1,SUMIFS($AJ$5:$AJ$504,$D$5:$D$504,D361),""),"")</f>
        <v/>
      </c>
      <c r="AS361" t="str">
        <f>IF(AG361=1,WEEKDAY(D361,2),"")</f>
        <v/>
      </c>
      <c r="AT361" s="31" t="str">
        <f>IF(AG361=1,DATE(YEAR(D361),MONTH(D361),1),"")</f>
        <v/>
      </c>
      <c r="AU361">
        <f>IF(AG361=0,0,IF(AND(OR('Prop challenge'!$D$7="",F361='Prop challenge'!$D$7),OR('Prop challenge'!$D$9="",D361&gt;='Prop challenge'!$D$9)),1,0))</f>
        <v>0</v>
      </c>
      <c r="AV361">
        <f>IF(AU361=1,IF(COUNTIFS($D$5:D361,D361,$AU$5:AU361,1)=1,1,0),0)</f>
        <v>0</v>
      </c>
      <c r="AW361" t="str">
        <f>IF(AV361=1,SUM($AV$5:AV361),"")</f>
        <v/>
      </c>
      <c r="AX361" t="str">
        <f>IF(AV361=1,SUMIFS($R$5:$R$504,$D$5:$D$504,D361,$AU$5:$AU$504,1),"")</f>
        <v/>
      </c>
    </row>
    <row r="362">
      <c r="A362" s="20" t="str">
        <f>IF(AG362=1,ROW()-4,"")</f>
        <v/>
      </c>
      <c r="B362" s="21" t="n"/>
      <c r="C362" s="22" t="n"/>
      <c r="D362" s="21" t="n"/>
      <c r="E362" s="22" t="n"/>
      <c r="F362" s="23" t="n"/>
      <c r="G362" s="23" t="n"/>
      <c r="H362" s="23" t="n"/>
      <c r="I362" s="24" t="n"/>
      <c r="J362" s="25" t="n"/>
      <c r="K362" s="25" t="n"/>
      <c r="L362" s="25" t="n"/>
      <c r="M362" s="25" t="n"/>
      <c r="N362" s="26" t="n"/>
      <c r="O362" s="26" t="n"/>
      <c r="P362" s="27" t="str">
        <f>IF(OR(J362="",K362="",I362="",AF362=0,AD362=""),"",(K362-J362)*AF362*I362*AD362*AE362)</f>
        <v/>
      </c>
      <c r="Q362" s="26" t="n"/>
      <c r="R362" s="28" t="str">
        <f>IF(Q362&lt;&gt;"",Q362,IF(P362="","",P362-N(N362)+N(O362)))</f>
        <v/>
      </c>
      <c r="S362" s="27" t="str">
        <f>IF(OR(L362="",J362="",I362="",AD362=""),"",ABS(J362-L362)*I362*AD362*AE362)</f>
        <v/>
      </c>
      <c r="T362" s="29" t="str">
        <f>IF(OR(R362="",S362="",S362=0),"",R362/S362)</f>
        <v/>
      </c>
      <c r="U362" s="20" t="str">
        <f>IF(R362="","",IF(R362&gt;0,"Ganadora",IF(R362&lt;0,"Perdedora","BE")))</f>
        <v/>
      </c>
      <c r="V362" s="23" t="n"/>
      <c r="W362" s="23" t="n"/>
      <c r="X362" s="23" t="n"/>
      <c r="Y362" s="23" t="n"/>
      <c r="Z362" s="23" t="n"/>
      <c r="AA362" s="23" t="n"/>
      <c r="AB362" s="30" t="n"/>
      <c r="AC362" s="1" t="n"/>
      <c r="AD362" s="1" t="str">
        <f>IF(G362="","",IFERROR(INDEX('Listas'!$N$6:$N$35,MATCH(G362,'Listas'!$M$6:$M$35,0)),""))</f>
        <v/>
      </c>
      <c r="AE362">
        <f>IF(G362="",1,IFERROR(INDEX('Listas'!$P$6:$P$35,MATCH(G362,'Listas'!$M$6:$M$35,0)),1))</f>
        <v>1</v>
      </c>
      <c r="AF362">
        <f>IF(H362="Compra",1,IF(H362="Venta",-1,0))</f>
        <v>0</v>
      </c>
      <c r="AG362">
        <f>IF(AND(D362&lt;&gt;"",ISNUMBER(R362)),1,0)</f>
        <v>0</v>
      </c>
      <c r="AH362">
        <f>IF(AG362=0,0,IF(OR('Panel'!$D$5="Todas las cuentas",'Panel'!$D$5="",F362='Panel'!$D$5),1,0))</f>
        <v>0</v>
      </c>
      <c r="AI362">
        <f>IF(AH362=0,0,IF(AND(OR('Panel'!$G$5="",D362&gt;='Panel'!$G$5),OR('Panel'!$J$5="",D362&lt;='Panel'!$J$5)),1,0))</f>
        <v>0</v>
      </c>
      <c r="AJ362">
        <f>IF(AI362=1,R362,0)</f>
        <v>0</v>
      </c>
      <c r="AK362" t="str">
        <f>IF(AI362=1,'Panel'!$AB$4+SUM($AJ$5:AJ362),"")</f>
        <v/>
      </c>
      <c r="AL362">
        <f>IF(AI362=0,N(AL361),IF(R362&lt;0,N(AL361)+1,0))</f>
        <v>1</v>
      </c>
      <c r="AM362">
        <f>IF(AI362=0,N(AM361),IF(R362&gt;0,N(AM361)+1,0))</f>
        <v>0</v>
      </c>
      <c r="AN362">
        <f>IF(AI362=1,MAX('Panel'!$AB$4,N(AN361),AK362),N(AN361))</f>
        <v>21371.061500000033</v>
      </c>
      <c r="AO362">
        <f>IF(AI362=1,AN362-AK362,0)</f>
        <v>0</v>
      </c>
      <c r="AP362">
        <f>IF(AND(AI362=1,AN362&gt;0),AO362/AN362,0)</f>
        <v>0</v>
      </c>
      <c r="AQ362" t="str">
        <f>IF(AI362=1,SUM($AI$5:AI362),"")</f>
        <v/>
      </c>
      <c r="AR362" t="str">
        <f>IF(AI362=1,IF(COUNTIFS($D$5:D362,D362,$AI$5:AI362,1)=1,SUMIFS($AJ$5:$AJ$504,$D$5:$D$504,D362),""),"")</f>
        <v/>
      </c>
      <c r="AS362" t="str">
        <f>IF(AG362=1,WEEKDAY(D362,2),"")</f>
        <v/>
      </c>
      <c r="AT362" s="31" t="str">
        <f>IF(AG362=1,DATE(YEAR(D362),MONTH(D362),1),"")</f>
        <v/>
      </c>
      <c r="AU362">
        <f>IF(AG362=0,0,IF(AND(OR('Prop challenge'!$D$7="",F362='Prop challenge'!$D$7),OR('Prop challenge'!$D$9="",D362&gt;='Prop challenge'!$D$9)),1,0))</f>
        <v>0</v>
      </c>
      <c r="AV362">
        <f>IF(AU362=1,IF(COUNTIFS($D$5:D362,D362,$AU$5:AU362,1)=1,1,0),0)</f>
        <v>0</v>
      </c>
      <c r="AW362" t="str">
        <f>IF(AV362=1,SUM($AV$5:AV362),"")</f>
        <v/>
      </c>
      <c r="AX362" t="str">
        <f>IF(AV362=1,SUMIFS($R$5:$R$504,$D$5:$D$504,D362,$AU$5:$AU$504,1),"")</f>
        <v/>
      </c>
    </row>
    <row r="363">
      <c r="A363" s="20" t="str">
        <f>IF(AG363=1,ROW()-4,"")</f>
        <v/>
      </c>
      <c r="B363" s="21" t="n"/>
      <c r="C363" s="22" t="n"/>
      <c r="D363" s="21" t="n"/>
      <c r="E363" s="22" t="n"/>
      <c r="F363" s="23" t="n"/>
      <c r="G363" s="23" t="n"/>
      <c r="H363" s="23" t="n"/>
      <c r="I363" s="24" t="n"/>
      <c r="J363" s="25" t="n"/>
      <c r="K363" s="25" t="n"/>
      <c r="L363" s="25" t="n"/>
      <c r="M363" s="25" t="n"/>
      <c r="N363" s="26" t="n"/>
      <c r="O363" s="26" t="n"/>
      <c r="P363" s="27" t="str">
        <f>IF(OR(J363="",K363="",I363="",AF363=0,AD363=""),"",(K363-J363)*AF363*I363*AD363*AE363)</f>
        <v/>
      </c>
      <c r="Q363" s="26" t="n"/>
      <c r="R363" s="28" t="str">
        <f>IF(Q363&lt;&gt;"",Q363,IF(P363="","",P363-N(N363)+N(O363)))</f>
        <v/>
      </c>
      <c r="S363" s="27" t="str">
        <f>IF(OR(L363="",J363="",I363="",AD363=""),"",ABS(J363-L363)*I363*AD363*AE363)</f>
        <v/>
      </c>
      <c r="T363" s="29" t="str">
        <f>IF(OR(R363="",S363="",S363=0),"",R363/S363)</f>
        <v/>
      </c>
      <c r="U363" s="20" t="str">
        <f>IF(R363="","",IF(R363&gt;0,"Ganadora",IF(R363&lt;0,"Perdedora","BE")))</f>
        <v/>
      </c>
      <c r="V363" s="23" t="n"/>
      <c r="W363" s="23" t="n"/>
      <c r="X363" s="23" t="n"/>
      <c r="Y363" s="23" t="n"/>
      <c r="Z363" s="23" t="n"/>
      <c r="AA363" s="23" t="n"/>
      <c r="AB363" s="30" t="n"/>
      <c r="AC363" s="1" t="n"/>
      <c r="AD363" s="1" t="str">
        <f>IF(G363="","",IFERROR(INDEX('Listas'!$N$6:$N$35,MATCH(G363,'Listas'!$M$6:$M$35,0)),""))</f>
        <v/>
      </c>
      <c r="AE363">
        <f>IF(G363="",1,IFERROR(INDEX('Listas'!$P$6:$P$35,MATCH(G363,'Listas'!$M$6:$M$35,0)),1))</f>
        <v>1</v>
      </c>
      <c r="AF363">
        <f>IF(H363="Compra",1,IF(H363="Venta",-1,0))</f>
        <v>0</v>
      </c>
      <c r="AG363">
        <f>IF(AND(D363&lt;&gt;"",ISNUMBER(R363)),1,0)</f>
        <v>0</v>
      </c>
      <c r="AH363">
        <f>IF(AG363=0,0,IF(OR('Panel'!$D$5="Todas las cuentas",'Panel'!$D$5="",F363='Panel'!$D$5),1,0))</f>
        <v>0</v>
      </c>
      <c r="AI363">
        <f>IF(AH363=0,0,IF(AND(OR('Panel'!$G$5="",D363&gt;='Panel'!$G$5),OR('Panel'!$J$5="",D363&lt;='Panel'!$J$5)),1,0))</f>
        <v>0</v>
      </c>
      <c r="AJ363">
        <f>IF(AI363=1,R363,0)</f>
        <v>0</v>
      </c>
      <c r="AK363" t="str">
        <f>IF(AI363=1,'Panel'!$AB$4+SUM($AJ$5:AJ363),"")</f>
        <v/>
      </c>
      <c r="AL363">
        <f>IF(AI363=0,N(AL362),IF(R363&lt;0,N(AL362)+1,0))</f>
        <v>1</v>
      </c>
      <c r="AM363">
        <f>IF(AI363=0,N(AM362),IF(R363&gt;0,N(AM362)+1,0))</f>
        <v>0</v>
      </c>
      <c r="AN363">
        <f>IF(AI363=1,MAX('Panel'!$AB$4,N(AN362),AK363),N(AN362))</f>
        <v>21371.061500000033</v>
      </c>
      <c r="AO363">
        <f>IF(AI363=1,AN363-AK363,0)</f>
        <v>0</v>
      </c>
      <c r="AP363">
        <f>IF(AND(AI363=1,AN363&gt;0),AO363/AN363,0)</f>
        <v>0</v>
      </c>
      <c r="AQ363" t="str">
        <f>IF(AI363=1,SUM($AI$5:AI363),"")</f>
        <v/>
      </c>
      <c r="AR363" t="str">
        <f>IF(AI363=1,IF(COUNTIFS($D$5:D363,D363,$AI$5:AI363,1)=1,SUMIFS($AJ$5:$AJ$504,$D$5:$D$504,D363),""),"")</f>
        <v/>
      </c>
      <c r="AS363" t="str">
        <f>IF(AG363=1,WEEKDAY(D363,2),"")</f>
        <v/>
      </c>
      <c r="AT363" s="31" t="str">
        <f>IF(AG363=1,DATE(YEAR(D363),MONTH(D363),1),"")</f>
        <v/>
      </c>
      <c r="AU363">
        <f>IF(AG363=0,0,IF(AND(OR('Prop challenge'!$D$7="",F363='Prop challenge'!$D$7),OR('Prop challenge'!$D$9="",D363&gt;='Prop challenge'!$D$9)),1,0))</f>
        <v>0</v>
      </c>
      <c r="AV363">
        <f>IF(AU363=1,IF(COUNTIFS($D$5:D363,D363,$AU$5:AU363,1)=1,1,0),0)</f>
        <v>0</v>
      </c>
      <c r="AW363" t="str">
        <f>IF(AV363=1,SUM($AV$5:AV363),"")</f>
        <v/>
      </c>
      <c r="AX363" t="str">
        <f>IF(AV363=1,SUMIFS($R$5:$R$504,$D$5:$D$504,D363,$AU$5:$AU$504,1),"")</f>
        <v/>
      </c>
    </row>
    <row r="364">
      <c r="A364" s="20" t="str">
        <f>IF(AG364=1,ROW()-4,"")</f>
        <v/>
      </c>
      <c r="B364" s="21" t="n"/>
      <c r="C364" s="22" t="n"/>
      <c r="D364" s="21" t="n"/>
      <c r="E364" s="22" t="n"/>
      <c r="F364" s="23" t="n"/>
      <c r="G364" s="23" t="n"/>
      <c r="H364" s="23" t="n"/>
      <c r="I364" s="24" t="n"/>
      <c r="J364" s="25" t="n"/>
      <c r="K364" s="25" t="n"/>
      <c r="L364" s="25" t="n"/>
      <c r="M364" s="25" t="n"/>
      <c r="N364" s="26" t="n"/>
      <c r="O364" s="26" t="n"/>
      <c r="P364" s="27" t="str">
        <f>IF(OR(J364="",K364="",I364="",AF364=0,AD364=""),"",(K364-J364)*AF364*I364*AD364*AE364)</f>
        <v/>
      </c>
      <c r="Q364" s="26" t="n"/>
      <c r="R364" s="28" t="str">
        <f>IF(Q364&lt;&gt;"",Q364,IF(P364="","",P364-N(N364)+N(O364)))</f>
        <v/>
      </c>
      <c r="S364" s="27" t="str">
        <f>IF(OR(L364="",J364="",I364="",AD364=""),"",ABS(J364-L364)*I364*AD364*AE364)</f>
        <v/>
      </c>
      <c r="T364" s="29" t="str">
        <f>IF(OR(R364="",S364="",S364=0),"",R364/S364)</f>
        <v/>
      </c>
      <c r="U364" s="20" t="str">
        <f>IF(R364="","",IF(R364&gt;0,"Ganadora",IF(R364&lt;0,"Perdedora","BE")))</f>
        <v/>
      </c>
      <c r="V364" s="23" t="n"/>
      <c r="W364" s="23" t="n"/>
      <c r="X364" s="23" t="n"/>
      <c r="Y364" s="23" t="n"/>
      <c r="Z364" s="23" t="n"/>
      <c r="AA364" s="23" t="n"/>
      <c r="AB364" s="30" t="n"/>
      <c r="AC364" s="1" t="n"/>
      <c r="AD364" s="1" t="str">
        <f>IF(G364="","",IFERROR(INDEX('Listas'!$N$6:$N$35,MATCH(G364,'Listas'!$M$6:$M$35,0)),""))</f>
        <v/>
      </c>
      <c r="AE364">
        <f>IF(G364="",1,IFERROR(INDEX('Listas'!$P$6:$P$35,MATCH(G364,'Listas'!$M$6:$M$35,0)),1))</f>
        <v>1</v>
      </c>
      <c r="AF364">
        <f>IF(H364="Compra",1,IF(H364="Venta",-1,0))</f>
        <v>0</v>
      </c>
      <c r="AG364">
        <f>IF(AND(D364&lt;&gt;"",ISNUMBER(R364)),1,0)</f>
        <v>0</v>
      </c>
      <c r="AH364">
        <f>IF(AG364=0,0,IF(OR('Panel'!$D$5="Todas las cuentas",'Panel'!$D$5="",F364='Panel'!$D$5),1,0))</f>
        <v>0</v>
      </c>
      <c r="AI364">
        <f>IF(AH364=0,0,IF(AND(OR('Panel'!$G$5="",D364&gt;='Panel'!$G$5),OR('Panel'!$J$5="",D364&lt;='Panel'!$J$5)),1,0))</f>
        <v>0</v>
      </c>
      <c r="AJ364">
        <f>IF(AI364=1,R364,0)</f>
        <v>0</v>
      </c>
      <c r="AK364" t="str">
        <f>IF(AI364=1,'Panel'!$AB$4+SUM($AJ$5:AJ364),"")</f>
        <v/>
      </c>
      <c r="AL364">
        <f>IF(AI364=0,N(AL363),IF(R364&lt;0,N(AL363)+1,0))</f>
        <v>1</v>
      </c>
      <c r="AM364">
        <f>IF(AI364=0,N(AM363),IF(R364&gt;0,N(AM363)+1,0))</f>
        <v>0</v>
      </c>
      <c r="AN364">
        <f>IF(AI364=1,MAX('Panel'!$AB$4,N(AN363),AK364),N(AN363))</f>
        <v>21371.061500000033</v>
      </c>
      <c r="AO364">
        <f>IF(AI364=1,AN364-AK364,0)</f>
        <v>0</v>
      </c>
      <c r="AP364">
        <f>IF(AND(AI364=1,AN364&gt;0),AO364/AN364,0)</f>
        <v>0</v>
      </c>
      <c r="AQ364" t="str">
        <f>IF(AI364=1,SUM($AI$5:AI364),"")</f>
        <v/>
      </c>
      <c r="AR364" t="str">
        <f>IF(AI364=1,IF(COUNTIFS($D$5:D364,D364,$AI$5:AI364,1)=1,SUMIFS($AJ$5:$AJ$504,$D$5:$D$504,D364),""),"")</f>
        <v/>
      </c>
      <c r="AS364" t="str">
        <f>IF(AG364=1,WEEKDAY(D364,2),"")</f>
        <v/>
      </c>
      <c r="AT364" s="31" t="str">
        <f>IF(AG364=1,DATE(YEAR(D364),MONTH(D364),1),"")</f>
        <v/>
      </c>
      <c r="AU364">
        <f>IF(AG364=0,0,IF(AND(OR('Prop challenge'!$D$7="",F364='Prop challenge'!$D$7),OR('Prop challenge'!$D$9="",D364&gt;='Prop challenge'!$D$9)),1,0))</f>
        <v>0</v>
      </c>
      <c r="AV364">
        <f>IF(AU364=1,IF(COUNTIFS($D$5:D364,D364,$AU$5:AU364,1)=1,1,0),0)</f>
        <v>0</v>
      </c>
      <c r="AW364" t="str">
        <f>IF(AV364=1,SUM($AV$5:AV364),"")</f>
        <v/>
      </c>
      <c r="AX364" t="str">
        <f>IF(AV364=1,SUMIFS($R$5:$R$504,$D$5:$D$504,D364,$AU$5:$AU$504,1),"")</f>
        <v/>
      </c>
    </row>
    <row r="365">
      <c r="A365" s="20" t="str">
        <f>IF(AG365=1,ROW()-4,"")</f>
        <v/>
      </c>
      <c r="B365" s="21" t="n"/>
      <c r="C365" s="22" t="n"/>
      <c r="D365" s="21" t="n"/>
      <c r="E365" s="22" t="n"/>
      <c r="F365" s="23" t="n"/>
      <c r="G365" s="23" t="n"/>
      <c r="H365" s="23" t="n"/>
      <c r="I365" s="24" t="n"/>
      <c r="J365" s="25" t="n"/>
      <c r="K365" s="25" t="n"/>
      <c r="L365" s="25" t="n"/>
      <c r="M365" s="25" t="n"/>
      <c r="N365" s="26" t="n"/>
      <c r="O365" s="26" t="n"/>
      <c r="P365" s="27" t="str">
        <f>IF(OR(J365="",K365="",I365="",AF365=0,AD365=""),"",(K365-J365)*AF365*I365*AD365*AE365)</f>
        <v/>
      </c>
      <c r="Q365" s="26" t="n"/>
      <c r="R365" s="28" t="str">
        <f>IF(Q365&lt;&gt;"",Q365,IF(P365="","",P365-N(N365)+N(O365)))</f>
        <v/>
      </c>
      <c r="S365" s="27" t="str">
        <f>IF(OR(L365="",J365="",I365="",AD365=""),"",ABS(J365-L365)*I365*AD365*AE365)</f>
        <v/>
      </c>
      <c r="T365" s="29" t="str">
        <f>IF(OR(R365="",S365="",S365=0),"",R365/S365)</f>
        <v/>
      </c>
      <c r="U365" s="20" t="str">
        <f>IF(R365="","",IF(R365&gt;0,"Ganadora",IF(R365&lt;0,"Perdedora","BE")))</f>
        <v/>
      </c>
      <c r="V365" s="23" t="n"/>
      <c r="W365" s="23" t="n"/>
      <c r="X365" s="23" t="n"/>
      <c r="Y365" s="23" t="n"/>
      <c r="Z365" s="23" t="n"/>
      <c r="AA365" s="23" t="n"/>
      <c r="AB365" s="30" t="n"/>
      <c r="AC365" s="1" t="n"/>
      <c r="AD365" s="1" t="str">
        <f>IF(G365="","",IFERROR(INDEX('Listas'!$N$6:$N$35,MATCH(G365,'Listas'!$M$6:$M$35,0)),""))</f>
        <v/>
      </c>
      <c r="AE365">
        <f>IF(G365="",1,IFERROR(INDEX('Listas'!$P$6:$P$35,MATCH(G365,'Listas'!$M$6:$M$35,0)),1))</f>
        <v>1</v>
      </c>
      <c r="AF365">
        <f>IF(H365="Compra",1,IF(H365="Venta",-1,0))</f>
        <v>0</v>
      </c>
      <c r="AG365">
        <f>IF(AND(D365&lt;&gt;"",ISNUMBER(R365)),1,0)</f>
        <v>0</v>
      </c>
      <c r="AH365">
        <f>IF(AG365=0,0,IF(OR('Panel'!$D$5="Todas las cuentas",'Panel'!$D$5="",F365='Panel'!$D$5),1,0))</f>
        <v>0</v>
      </c>
      <c r="AI365">
        <f>IF(AH365=0,0,IF(AND(OR('Panel'!$G$5="",D365&gt;='Panel'!$G$5),OR('Panel'!$J$5="",D365&lt;='Panel'!$J$5)),1,0))</f>
        <v>0</v>
      </c>
      <c r="AJ365">
        <f>IF(AI365=1,R365,0)</f>
        <v>0</v>
      </c>
      <c r="AK365" t="str">
        <f>IF(AI365=1,'Panel'!$AB$4+SUM($AJ$5:AJ365),"")</f>
        <v/>
      </c>
      <c r="AL365">
        <f>IF(AI365=0,N(AL364),IF(R365&lt;0,N(AL364)+1,0))</f>
        <v>1</v>
      </c>
      <c r="AM365">
        <f>IF(AI365=0,N(AM364),IF(R365&gt;0,N(AM364)+1,0))</f>
        <v>0</v>
      </c>
      <c r="AN365">
        <f>IF(AI365=1,MAX('Panel'!$AB$4,N(AN364),AK365),N(AN364))</f>
        <v>21371.061500000033</v>
      </c>
      <c r="AO365">
        <f>IF(AI365=1,AN365-AK365,0)</f>
        <v>0</v>
      </c>
      <c r="AP365">
        <f>IF(AND(AI365=1,AN365&gt;0),AO365/AN365,0)</f>
        <v>0</v>
      </c>
      <c r="AQ365" t="str">
        <f>IF(AI365=1,SUM($AI$5:AI365),"")</f>
        <v/>
      </c>
      <c r="AR365" t="str">
        <f>IF(AI365=1,IF(COUNTIFS($D$5:D365,D365,$AI$5:AI365,1)=1,SUMIFS($AJ$5:$AJ$504,$D$5:$D$504,D365),""),"")</f>
        <v/>
      </c>
      <c r="AS365" t="str">
        <f>IF(AG365=1,WEEKDAY(D365,2),"")</f>
        <v/>
      </c>
      <c r="AT365" s="31" t="str">
        <f>IF(AG365=1,DATE(YEAR(D365),MONTH(D365),1),"")</f>
        <v/>
      </c>
      <c r="AU365">
        <f>IF(AG365=0,0,IF(AND(OR('Prop challenge'!$D$7="",F365='Prop challenge'!$D$7),OR('Prop challenge'!$D$9="",D365&gt;='Prop challenge'!$D$9)),1,0))</f>
        <v>0</v>
      </c>
      <c r="AV365">
        <f>IF(AU365=1,IF(COUNTIFS($D$5:D365,D365,$AU$5:AU365,1)=1,1,0),0)</f>
        <v>0</v>
      </c>
      <c r="AW365" t="str">
        <f>IF(AV365=1,SUM($AV$5:AV365),"")</f>
        <v/>
      </c>
      <c r="AX365" t="str">
        <f>IF(AV365=1,SUMIFS($R$5:$R$504,$D$5:$D$504,D365,$AU$5:$AU$504,1),"")</f>
        <v/>
      </c>
    </row>
    <row r="366">
      <c r="A366" s="20" t="str">
        <f>IF(AG366=1,ROW()-4,"")</f>
        <v/>
      </c>
      <c r="B366" s="21" t="n"/>
      <c r="C366" s="22" t="n"/>
      <c r="D366" s="21" t="n"/>
      <c r="E366" s="22" t="n"/>
      <c r="F366" s="23" t="n"/>
      <c r="G366" s="23" t="n"/>
      <c r="H366" s="23" t="n"/>
      <c r="I366" s="24" t="n"/>
      <c r="J366" s="25" t="n"/>
      <c r="K366" s="25" t="n"/>
      <c r="L366" s="25" t="n"/>
      <c r="M366" s="25" t="n"/>
      <c r="N366" s="26" t="n"/>
      <c r="O366" s="26" t="n"/>
      <c r="P366" s="27" t="str">
        <f>IF(OR(J366="",K366="",I366="",AF366=0,AD366=""),"",(K366-J366)*AF366*I366*AD366*AE366)</f>
        <v/>
      </c>
      <c r="Q366" s="26" t="n"/>
      <c r="R366" s="28" t="str">
        <f>IF(Q366&lt;&gt;"",Q366,IF(P366="","",P366-N(N366)+N(O366)))</f>
        <v/>
      </c>
      <c r="S366" s="27" t="str">
        <f>IF(OR(L366="",J366="",I366="",AD366=""),"",ABS(J366-L366)*I366*AD366*AE366)</f>
        <v/>
      </c>
      <c r="T366" s="29" t="str">
        <f>IF(OR(R366="",S366="",S366=0),"",R366/S366)</f>
        <v/>
      </c>
      <c r="U366" s="20" t="str">
        <f>IF(R366="","",IF(R366&gt;0,"Ganadora",IF(R366&lt;0,"Perdedora","BE")))</f>
        <v/>
      </c>
      <c r="V366" s="23" t="n"/>
      <c r="W366" s="23" t="n"/>
      <c r="X366" s="23" t="n"/>
      <c r="Y366" s="23" t="n"/>
      <c r="Z366" s="23" t="n"/>
      <c r="AA366" s="23" t="n"/>
      <c r="AB366" s="30" t="n"/>
      <c r="AC366" s="1" t="n"/>
      <c r="AD366" s="1" t="str">
        <f>IF(G366="","",IFERROR(INDEX('Listas'!$N$6:$N$35,MATCH(G366,'Listas'!$M$6:$M$35,0)),""))</f>
        <v/>
      </c>
      <c r="AE366">
        <f>IF(G366="",1,IFERROR(INDEX('Listas'!$P$6:$P$35,MATCH(G366,'Listas'!$M$6:$M$35,0)),1))</f>
        <v>1</v>
      </c>
      <c r="AF366">
        <f>IF(H366="Compra",1,IF(H366="Venta",-1,0))</f>
        <v>0</v>
      </c>
      <c r="AG366">
        <f>IF(AND(D366&lt;&gt;"",ISNUMBER(R366)),1,0)</f>
        <v>0</v>
      </c>
      <c r="AH366">
        <f>IF(AG366=0,0,IF(OR('Panel'!$D$5="Todas las cuentas",'Panel'!$D$5="",F366='Panel'!$D$5),1,0))</f>
        <v>0</v>
      </c>
      <c r="AI366">
        <f>IF(AH366=0,0,IF(AND(OR('Panel'!$G$5="",D366&gt;='Panel'!$G$5),OR('Panel'!$J$5="",D366&lt;='Panel'!$J$5)),1,0))</f>
        <v>0</v>
      </c>
      <c r="AJ366">
        <f>IF(AI366=1,R366,0)</f>
        <v>0</v>
      </c>
      <c r="AK366" t="str">
        <f>IF(AI366=1,'Panel'!$AB$4+SUM($AJ$5:AJ366),"")</f>
        <v/>
      </c>
      <c r="AL366">
        <f>IF(AI366=0,N(AL365),IF(R366&lt;0,N(AL365)+1,0))</f>
        <v>1</v>
      </c>
      <c r="AM366">
        <f>IF(AI366=0,N(AM365),IF(R366&gt;0,N(AM365)+1,0))</f>
        <v>0</v>
      </c>
      <c r="AN366">
        <f>IF(AI366=1,MAX('Panel'!$AB$4,N(AN365),AK366),N(AN365))</f>
        <v>21371.061500000033</v>
      </c>
      <c r="AO366">
        <f>IF(AI366=1,AN366-AK366,0)</f>
        <v>0</v>
      </c>
      <c r="AP366">
        <f>IF(AND(AI366=1,AN366&gt;0),AO366/AN366,0)</f>
        <v>0</v>
      </c>
      <c r="AQ366" t="str">
        <f>IF(AI366=1,SUM($AI$5:AI366),"")</f>
        <v/>
      </c>
      <c r="AR366" t="str">
        <f>IF(AI366=1,IF(COUNTIFS($D$5:D366,D366,$AI$5:AI366,1)=1,SUMIFS($AJ$5:$AJ$504,$D$5:$D$504,D366),""),"")</f>
        <v/>
      </c>
      <c r="AS366" t="str">
        <f>IF(AG366=1,WEEKDAY(D366,2),"")</f>
        <v/>
      </c>
      <c r="AT366" s="31" t="str">
        <f>IF(AG366=1,DATE(YEAR(D366),MONTH(D366),1),"")</f>
        <v/>
      </c>
      <c r="AU366">
        <f>IF(AG366=0,0,IF(AND(OR('Prop challenge'!$D$7="",F366='Prop challenge'!$D$7),OR('Prop challenge'!$D$9="",D366&gt;='Prop challenge'!$D$9)),1,0))</f>
        <v>0</v>
      </c>
      <c r="AV366">
        <f>IF(AU366=1,IF(COUNTIFS($D$5:D366,D366,$AU$5:AU366,1)=1,1,0),0)</f>
        <v>0</v>
      </c>
      <c r="AW366" t="str">
        <f>IF(AV366=1,SUM($AV$5:AV366),"")</f>
        <v/>
      </c>
      <c r="AX366" t="str">
        <f>IF(AV366=1,SUMIFS($R$5:$R$504,$D$5:$D$504,D366,$AU$5:$AU$504,1),"")</f>
        <v/>
      </c>
    </row>
    <row r="367">
      <c r="A367" s="20" t="str">
        <f>IF(AG367=1,ROW()-4,"")</f>
        <v/>
      </c>
      <c r="B367" s="21" t="n"/>
      <c r="C367" s="22" t="n"/>
      <c r="D367" s="21" t="n"/>
      <c r="E367" s="22" t="n"/>
      <c r="F367" s="23" t="n"/>
      <c r="G367" s="23" t="n"/>
      <c r="H367" s="23" t="n"/>
      <c r="I367" s="24" t="n"/>
      <c r="J367" s="25" t="n"/>
      <c r="K367" s="25" t="n"/>
      <c r="L367" s="25" t="n"/>
      <c r="M367" s="25" t="n"/>
      <c r="N367" s="26" t="n"/>
      <c r="O367" s="26" t="n"/>
      <c r="P367" s="27" t="str">
        <f>IF(OR(J367="",K367="",I367="",AF367=0,AD367=""),"",(K367-J367)*AF367*I367*AD367*AE367)</f>
        <v/>
      </c>
      <c r="Q367" s="26" t="n"/>
      <c r="R367" s="28" t="str">
        <f>IF(Q367&lt;&gt;"",Q367,IF(P367="","",P367-N(N367)+N(O367)))</f>
        <v/>
      </c>
      <c r="S367" s="27" t="str">
        <f>IF(OR(L367="",J367="",I367="",AD367=""),"",ABS(J367-L367)*I367*AD367*AE367)</f>
        <v/>
      </c>
      <c r="T367" s="29" t="str">
        <f>IF(OR(R367="",S367="",S367=0),"",R367/S367)</f>
        <v/>
      </c>
      <c r="U367" s="20" t="str">
        <f>IF(R367="","",IF(R367&gt;0,"Ganadora",IF(R367&lt;0,"Perdedora","BE")))</f>
        <v/>
      </c>
      <c r="V367" s="23" t="n"/>
      <c r="W367" s="23" t="n"/>
      <c r="X367" s="23" t="n"/>
      <c r="Y367" s="23" t="n"/>
      <c r="Z367" s="23" t="n"/>
      <c r="AA367" s="23" t="n"/>
      <c r="AB367" s="30" t="n"/>
      <c r="AC367" s="1" t="n"/>
      <c r="AD367" s="1" t="str">
        <f>IF(G367="","",IFERROR(INDEX('Listas'!$N$6:$N$35,MATCH(G367,'Listas'!$M$6:$M$35,0)),""))</f>
        <v/>
      </c>
      <c r="AE367">
        <f>IF(G367="",1,IFERROR(INDEX('Listas'!$P$6:$P$35,MATCH(G367,'Listas'!$M$6:$M$35,0)),1))</f>
        <v>1</v>
      </c>
      <c r="AF367">
        <f>IF(H367="Compra",1,IF(H367="Venta",-1,0))</f>
        <v>0</v>
      </c>
      <c r="AG367">
        <f>IF(AND(D367&lt;&gt;"",ISNUMBER(R367)),1,0)</f>
        <v>0</v>
      </c>
      <c r="AH367">
        <f>IF(AG367=0,0,IF(OR('Panel'!$D$5="Todas las cuentas",'Panel'!$D$5="",F367='Panel'!$D$5),1,0))</f>
        <v>0</v>
      </c>
      <c r="AI367">
        <f>IF(AH367=0,0,IF(AND(OR('Panel'!$G$5="",D367&gt;='Panel'!$G$5),OR('Panel'!$J$5="",D367&lt;='Panel'!$J$5)),1,0))</f>
        <v>0</v>
      </c>
      <c r="AJ367">
        <f>IF(AI367=1,R367,0)</f>
        <v>0</v>
      </c>
      <c r="AK367" t="str">
        <f>IF(AI367=1,'Panel'!$AB$4+SUM($AJ$5:AJ367),"")</f>
        <v/>
      </c>
      <c r="AL367">
        <f>IF(AI367=0,N(AL366),IF(R367&lt;0,N(AL366)+1,0))</f>
        <v>1</v>
      </c>
      <c r="AM367">
        <f>IF(AI367=0,N(AM366),IF(R367&gt;0,N(AM366)+1,0))</f>
        <v>0</v>
      </c>
      <c r="AN367">
        <f>IF(AI367=1,MAX('Panel'!$AB$4,N(AN366),AK367),N(AN366))</f>
        <v>21371.061500000033</v>
      </c>
      <c r="AO367">
        <f>IF(AI367=1,AN367-AK367,0)</f>
        <v>0</v>
      </c>
      <c r="AP367">
        <f>IF(AND(AI367=1,AN367&gt;0),AO367/AN367,0)</f>
        <v>0</v>
      </c>
      <c r="AQ367" t="str">
        <f>IF(AI367=1,SUM($AI$5:AI367),"")</f>
        <v/>
      </c>
      <c r="AR367" t="str">
        <f>IF(AI367=1,IF(COUNTIFS($D$5:D367,D367,$AI$5:AI367,1)=1,SUMIFS($AJ$5:$AJ$504,$D$5:$D$504,D367),""),"")</f>
        <v/>
      </c>
      <c r="AS367" t="str">
        <f>IF(AG367=1,WEEKDAY(D367,2),"")</f>
        <v/>
      </c>
      <c r="AT367" s="31" t="str">
        <f>IF(AG367=1,DATE(YEAR(D367),MONTH(D367),1),"")</f>
        <v/>
      </c>
      <c r="AU367">
        <f>IF(AG367=0,0,IF(AND(OR('Prop challenge'!$D$7="",F367='Prop challenge'!$D$7),OR('Prop challenge'!$D$9="",D367&gt;='Prop challenge'!$D$9)),1,0))</f>
        <v>0</v>
      </c>
      <c r="AV367">
        <f>IF(AU367=1,IF(COUNTIFS($D$5:D367,D367,$AU$5:AU367,1)=1,1,0),0)</f>
        <v>0</v>
      </c>
      <c r="AW367" t="str">
        <f>IF(AV367=1,SUM($AV$5:AV367),"")</f>
        <v/>
      </c>
      <c r="AX367" t="str">
        <f>IF(AV367=1,SUMIFS($R$5:$R$504,$D$5:$D$504,D367,$AU$5:$AU$504,1),"")</f>
        <v/>
      </c>
    </row>
    <row r="368">
      <c r="A368" s="20" t="str">
        <f>IF(AG368=1,ROW()-4,"")</f>
        <v/>
      </c>
      <c r="B368" s="21" t="n"/>
      <c r="C368" s="22" t="n"/>
      <c r="D368" s="21" t="n"/>
      <c r="E368" s="22" t="n"/>
      <c r="F368" s="23" t="n"/>
      <c r="G368" s="23" t="n"/>
      <c r="H368" s="23" t="n"/>
      <c r="I368" s="24" t="n"/>
      <c r="J368" s="25" t="n"/>
      <c r="K368" s="25" t="n"/>
      <c r="L368" s="25" t="n"/>
      <c r="M368" s="25" t="n"/>
      <c r="N368" s="26" t="n"/>
      <c r="O368" s="26" t="n"/>
      <c r="P368" s="27" t="str">
        <f>IF(OR(J368="",K368="",I368="",AF368=0,AD368=""),"",(K368-J368)*AF368*I368*AD368*AE368)</f>
        <v/>
      </c>
      <c r="Q368" s="26" t="n"/>
      <c r="R368" s="28" t="str">
        <f>IF(Q368&lt;&gt;"",Q368,IF(P368="","",P368-N(N368)+N(O368)))</f>
        <v/>
      </c>
      <c r="S368" s="27" t="str">
        <f>IF(OR(L368="",J368="",I368="",AD368=""),"",ABS(J368-L368)*I368*AD368*AE368)</f>
        <v/>
      </c>
      <c r="T368" s="29" t="str">
        <f>IF(OR(R368="",S368="",S368=0),"",R368/S368)</f>
        <v/>
      </c>
      <c r="U368" s="20" t="str">
        <f>IF(R368="","",IF(R368&gt;0,"Ganadora",IF(R368&lt;0,"Perdedora","BE")))</f>
        <v/>
      </c>
      <c r="V368" s="23" t="n"/>
      <c r="W368" s="23" t="n"/>
      <c r="X368" s="23" t="n"/>
      <c r="Y368" s="23" t="n"/>
      <c r="Z368" s="23" t="n"/>
      <c r="AA368" s="23" t="n"/>
      <c r="AB368" s="30" t="n"/>
      <c r="AC368" s="1" t="n"/>
      <c r="AD368" s="1" t="str">
        <f>IF(G368="","",IFERROR(INDEX('Listas'!$N$6:$N$35,MATCH(G368,'Listas'!$M$6:$M$35,0)),""))</f>
        <v/>
      </c>
      <c r="AE368">
        <f>IF(G368="",1,IFERROR(INDEX('Listas'!$P$6:$P$35,MATCH(G368,'Listas'!$M$6:$M$35,0)),1))</f>
        <v>1</v>
      </c>
      <c r="AF368">
        <f>IF(H368="Compra",1,IF(H368="Venta",-1,0))</f>
        <v>0</v>
      </c>
      <c r="AG368">
        <f>IF(AND(D368&lt;&gt;"",ISNUMBER(R368)),1,0)</f>
        <v>0</v>
      </c>
      <c r="AH368">
        <f>IF(AG368=0,0,IF(OR('Panel'!$D$5="Todas las cuentas",'Panel'!$D$5="",F368='Panel'!$D$5),1,0))</f>
        <v>0</v>
      </c>
      <c r="AI368">
        <f>IF(AH368=0,0,IF(AND(OR('Panel'!$G$5="",D368&gt;='Panel'!$G$5),OR('Panel'!$J$5="",D368&lt;='Panel'!$J$5)),1,0))</f>
        <v>0</v>
      </c>
      <c r="AJ368">
        <f>IF(AI368=1,R368,0)</f>
        <v>0</v>
      </c>
      <c r="AK368" t="str">
        <f>IF(AI368=1,'Panel'!$AB$4+SUM($AJ$5:AJ368),"")</f>
        <v/>
      </c>
      <c r="AL368">
        <f>IF(AI368=0,N(AL367),IF(R368&lt;0,N(AL367)+1,0))</f>
        <v>1</v>
      </c>
      <c r="AM368">
        <f>IF(AI368=0,N(AM367),IF(R368&gt;0,N(AM367)+1,0))</f>
        <v>0</v>
      </c>
      <c r="AN368">
        <f>IF(AI368=1,MAX('Panel'!$AB$4,N(AN367),AK368),N(AN367))</f>
        <v>21371.061500000033</v>
      </c>
      <c r="AO368">
        <f>IF(AI368=1,AN368-AK368,0)</f>
        <v>0</v>
      </c>
      <c r="AP368">
        <f>IF(AND(AI368=1,AN368&gt;0),AO368/AN368,0)</f>
        <v>0</v>
      </c>
      <c r="AQ368" t="str">
        <f>IF(AI368=1,SUM($AI$5:AI368),"")</f>
        <v/>
      </c>
      <c r="AR368" t="str">
        <f>IF(AI368=1,IF(COUNTIFS($D$5:D368,D368,$AI$5:AI368,1)=1,SUMIFS($AJ$5:$AJ$504,$D$5:$D$504,D368),""),"")</f>
        <v/>
      </c>
      <c r="AS368" t="str">
        <f>IF(AG368=1,WEEKDAY(D368,2),"")</f>
        <v/>
      </c>
      <c r="AT368" s="31" t="str">
        <f>IF(AG368=1,DATE(YEAR(D368),MONTH(D368),1),"")</f>
        <v/>
      </c>
      <c r="AU368">
        <f>IF(AG368=0,0,IF(AND(OR('Prop challenge'!$D$7="",F368='Prop challenge'!$D$7),OR('Prop challenge'!$D$9="",D368&gt;='Prop challenge'!$D$9)),1,0))</f>
        <v>0</v>
      </c>
      <c r="AV368">
        <f>IF(AU368=1,IF(COUNTIFS($D$5:D368,D368,$AU$5:AU368,1)=1,1,0),0)</f>
        <v>0</v>
      </c>
      <c r="AW368" t="str">
        <f>IF(AV368=1,SUM($AV$5:AV368),"")</f>
        <v/>
      </c>
      <c r="AX368" t="str">
        <f>IF(AV368=1,SUMIFS($R$5:$R$504,$D$5:$D$504,D368,$AU$5:$AU$504,1),"")</f>
        <v/>
      </c>
    </row>
    <row r="369">
      <c r="A369" s="20" t="str">
        <f>IF(AG369=1,ROW()-4,"")</f>
        <v/>
      </c>
      <c r="B369" s="21" t="n"/>
      <c r="C369" s="22" t="n"/>
      <c r="D369" s="21" t="n"/>
      <c r="E369" s="22" t="n"/>
      <c r="F369" s="23" t="n"/>
      <c r="G369" s="23" t="n"/>
      <c r="H369" s="23" t="n"/>
      <c r="I369" s="24" t="n"/>
      <c r="J369" s="25" t="n"/>
      <c r="K369" s="25" t="n"/>
      <c r="L369" s="25" t="n"/>
      <c r="M369" s="25" t="n"/>
      <c r="N369" s="26" t="n"/>
      <c r="O369" s="26" t="n"/>
      <c r="P369" s="27" t="str">
        <f>IF(OR(J369="",K369="",I369="",AF369=0,AD369=""),"",(K369-J369)*AF369*I369*AD369*AE369)</f>
        <v/>
      </c>
      <c r="Q369" s="26" t="n"/>
      <c r="R369" s="28" t="str">
        <f>IF(Q369&lt;&gt;"",Q369,IF(P369="","",P369-N(N369)+N(O369)))</f>
        <v/>
      </c>
      <c r="S369" s="27" t="str">
        <f>IF(OR(L369="",J369="",I369="",AD369=""),"",ABS(J369-L369)*I369*AD369*AE369)</f>
        <v/>
      </c>
      <c r="T369" s="29" t="str">
        <f>IF(OR(R369="",S369="",S369=0),"",R369/S369)</f>
        <v/>
      </c>
      <c r="U369" s="20" t="str">
        <f>IF(R369="","",IF(R369&gt;0,"Ganadora",IF(R369&lt;0,"Perdedora","BE")))</f>
        <v/>
      </c>
      <c r="V369" s="23" t="n"/>
      <c r="W369" s="23" t="n"/>
      <c r="X369" s="23" t="n"/>
      <c r="Y369" s="23" t="n"/>
      <c r="Z369" s="23" t="n"/>
      <c r="AA369" s="23" t="n"/>
      <c r="AB369" s="30" t="n"/>
      <c r="AC369" s="1" t="n"/>
      <c r="AD369" s="1" t="str">
        <f>IF(G369="","",IFERROR(INDEX('Listas'!$N$6:$N$35,MATCH(G369,'Listas'!$M$6:$M$35,0)),""))</f>
        <v/>
      </c>
      <c r="AE369">
        <f>IF(G369="",1,IFERROR(INDEX('Listas'!$P$6:$P$35,MATCH(G369,'Listas'!$M$6:$M$35,0)),1))</f>
        <v>1</v>
      </c>
      <c r="AF369">
        <f>IF(H369="Compra",1,IF(H369="Venta",-1,0))</f>
        <v>0</v>
      </c>
      <c r="AG369">
        <f>IF(AND(D369&lt;&gt;"",ISNUMBER(R369)),1,0)</f>
        <v>0</v>
      </c>
      <c r="AH369">
        <f>IF(AG369=0,0,IF(OR('Panel'!$D$5="Todas las cuentas",'Panel'!$D$5="",F369='Panel'!$D$5),1,0))</f>
        <v>0</v>
      </c>
      <c r="AI369">
        <f>IF(AH369=0,0,IF(AND(OR('Panel'!$G$5="",D369&gt;='Panel'!$G$5),OR('Panel'!$J$5="",D369&lt;='Panel'!$J$5)),1,0))</f>
        <v>0</v>
      </c>
      <c r="AJ369">
        <f>IF(AI369=1,R369,0)</f>
        <v>0</v>
      </c>
      <c r="AK369" t="str">
        <f>IF(AI369=1,'Panel'!$AB$4+SUM($AJ$5:AJ369),"")</f>
        <v/>
      </c>
      <c r="AL369">
        <f>IF(AI369=0,N(AL368),IF(R369&lt;0,N(AL368)+1,0))</f>
        <v>1</v>
      </c>
      <c r="AM369">
        <f>IF(AI369=0,N(AM368),IF(R369&gt;0,N(AM368)+1,0))</f>
        <v>0</v>
      </c>
      <c r="AN369">
        <f>IF(AI369=1,MAX('Panel'!$AB$4,N(AN368),AK369),N(AN368))</f>
        <v>21371.061500000033</v>
      </c>
      <c r="AO369">
        <f>IF(AI369=1,AN369-AK369,0)</f>
        <v>0</v>
      </c>
      <c r="AP369">
        <f>IF(AND(AI369=1,AN369&gt;0),AO369/AN369,0)</f>
        <v>0</v>
      </c>
      <c r="AQ369" t="str">
        <f>IF(AI369=1,SUM($AI$5:AI369),"")</f>
        <v/>
      </c>
      <c r="AR369" t="str">
        <f>IF(AI369=1,IF(COUNTIFS($D$5:D369,D369,$AI$5:AI369,1)=1,SUMIFS($AJ$5:$AJ$504,$D$5:$D$504,D369),""),"")</f>
        <v/>
      </c>
      <c r="AS369" t="str">
        <f>IF(AG369=1,WEEKDAY(D369,2),"")</f>
        <v/>
      </c>
      <c r="AT369" s="31" t="str">
        <f>IF(AG369=1,DATE(YEAR(D369),MONTH(D369),1),"")</f>
        <v/>
      </c>
      <c r="AU369">
        <f>IF(AG369=0,0,IF(AND(OR('Prop challenge'!$D$7="",F369='Prop challenge'!$D$7),OR('Prop challenge'!$D$9="",D369&gt;='Prop challenge'!$D$9)),1,0))</f>
        <v>0</v>
      </c>
      <c r="AV369">
        <f>IF(AU369=1,IF(COUNTIFS($D$5:D369,D369,$AU$5:AU369,1)=1,1,0),0)</f>
        <v>0</v>
      </c>
      <c r="AW369" t="str">
        <f>IF(AV369=1,SUM($AV$5:AV369),"")</f>
        <v/>
      </c>
      <c r="AX369" t="str">
        <f>IF(AV369=1,SUMIFS($R$5:$R$504,$D$5:$D$504,D369,$AU$5:$AU$504,1),"")</f>
        <v/>
      </c>
    </row>
    <row r="370">
      <c r="A370" s="20" t="str">
        <f>IF(AG370=1,ROW()-4,"")</f>
        <v/>
      </c>
      <c r="B370" s="21" t="n"/>
      <c r="C370" s="22" t="n"/>
      <c r="D370" s="21" t="n"/>
      <c r="E370" s="22" t="n"/>
      <c r="F370" s="23" t="n"/>
      <c r="G370" s="23" t="n"/>
      <c r="H370" s="23" t="n"/>
      <c r="I370" s="24" t="n"/>
      <c r="J370" s="25" t="n"/>
      <c r="K370" s="25" t="n"/>
      <c r="L370" s="25" t="n"/>
      <c r="M370" s="25" t="n"/>
      <c r="N370" s="26" t="n"/>
      <c r="O370" s="26" t="n"/>
      <c r="P370" s="27" t="str">
        <f>IF(OR(J370="",K370="",I370="",AF370=0,AD370=""),"",(K370-J370)*AF370*I370*AD370*AE370)</f>
        <v/>
      </c>
      <c r="Q370" s="26" t="n"/>
      <c r="R370" s="28" t="str">
        <f>IF(Q370&lt;&gt;"",Q370,IF(P370="","",P370-N(N370)+N(O370)))</f>
        <v/>
      </c>
      <c r="S370" s="27" t="str">
        <f>IF(OR(L370="",J370="",I370="",AD370=""),"",ABS(J370-L370)*I370*AD370*AE370)</f>
        <v/>
      </c>
      <c r="T370" s="29" t="str">
        <f>IF(OR(R370="",S370="",S370=0),"",R370/S370)</f>
        <v/>
      </c>
      <c r="U370" s="20" t="str">
        <f>IF(R370="","",IF(R370&gt;0,"Ganadora",IF(R370&lt;0,"Perdedora","BE")))</f>
        <v/>
      </c>
      <c r="V370" s="23" t="n"/>
      <c r="W370" s="23" t="n"/>
      <c r="X370" s="23" t="n"/>
      <c r="Y370" s="23" t="n"/>
      <c r="Z370" s="23" t="n"/>
      <c r="AA370" s="23" t="n"/>
      <c r="AB370" s="30" t="n"/>
      <c r="AC370" s="1" t="n"/>
      <c r="AD370" s="1" t="str">
        <f>IF(G370="","",IFERROR(INDEX('Listas'!$N$6:$N$35,MATCH(G370,'Listas'!$M$6:$M$35,0)),""))</f>
        <v/>
      </c>
      <c r="AE370">
        <f>IF(G370="",1,IFERROR(INDEX('Listas'!$P$6:$P$35,MATCH(G370,'Listas'!$M$6:$M$35,0)),1))</f>
        <v>1</v>
      </c>
      <c r="AF370">
        <f>IF(H370="Compra",1,IF(H370="Venta",-1,0))</f>
        <v>0</v>
      </c>
      <c r="AG370">
        <f>IF(AND(D370&lt;&gt;"",ISNUMBER(R370)),1,0)</f>
        <v>0</v>
      </c>
      <c r="AH370">
        <f>IF(AG370=0,0,IF(OR('Panel'!$D$5="Todas las cuentas",'Panel'!$D$5="",F370='Panel'!$D$5),1,0))</f>
        <v>0</v>
      </c>
      <c r="AI370">
        <f>IF(AH370=0,0,IF(AND(OR('Panel'!$G$5="",D370&gt;='Panel'!$G$5),OR('Panel'!$J$5="",D370&lt;='Panel'!$J$5)),1,0))</f>
        <v>0</v>
      </c>
      <c r="AJ370">
        <f>IF(AI370=1,R370,0)</f>
        <v>0</v>
      </c>
      <c r="AK370" t="str">
        <f>IF(AI370=1,'Panel'!$AB$4+SUM($AJ$5:AJ370),"")</f>
        <v/>
      </c>
      <c r="AL370">
        <f>IF(AI370=0,N(AL369),IF(R370&lt;0,N(AL369)+1,0))</f>
        <v>1</v>
      </c>
      <c r="AM370">
        <f>IF(AI370=0,N(AM369),IF(R370&gt;0,N(AM369)+1,0))</f>
        <v>0</v>
      </c>
      <c r="AN370">
        <f>IF(AI370=1,MAX('Panel'!$AB$4,N(AN369),AK370),N(AN369))</f>
        <v>21371.061500000033</v>
      </c>
      <c r="AO370">
        <f>IF(AI370=1,AN370-AK370,0)</f>
        <v>0</v>
      </c>
      <c r="AP370">
        <f>IF(AND(AI370=1,AN370&gt;0),AO370/AN370,0)</f>
        <v>0</v>
      </c>
      <c r="AQ370" t="str">
        <f>IF(AI370=1,SUM($AI$5:AI370),"")</f>
        <v/>
      </c>
      <c r="AR370" t="str">
        <f>IF(AI370=1,IF(COUNTIFS($D$5:D370,D370,$AI$5:AI370,1)=1,SUMIFS($AJ$5:$AJ$504,$D$5:$D$504,D370),""),"")</f>
        <v/>
      </c>
      <c r="AS370" t="str">
        <f>IF(AG370=1,WEEKDAY(D370,2),"")</f>
        <v/>
      </c>
      <c r="AT370" s="31" t="str">
        <f>IF(AG370=1,DATE(YEAR(D370),MONTH(D370),1),"")</f>
        <v/>
      </c>
      <c r="AU370">
        <f>IF(AG370=0,0,IF(AND(OR('Prop challenge'!$D$7="",F370='Prop challenge'!$D$7),OR('Prop challenge'!$D$9="",D370&gt;='Prop challenge'!$D$9)),1,0))</f>
        <v>0</v>
      </c>
      <c r="AV370">
        <f>IF(AU370=1,IF(COUNTIFS($D$5:D370,D370,$AU$5:AU370,1)=1,1,0),0)</f>
        <v>0</v>
      </c>
      <c r="AW370" t="str">
        <f>IF(AV370=1,SUM($AV$5:AV370),"")</f>
        <v/>
      </c>
      <c r="AX370" t="str">
        <f>IF(AV370=1,SUMIFS($R$5:$R$504,$D$5:$D$504,D370,$AU$5:$AU$504,1),"")</f>
        <v/>
      </c>
    </row>
    <row r="371">
      <c r="A371" s="20" t="str">
        <f>IF(AG371=1,ROW()-4,"")</f>
        <v/>
      </c>
      <c r="B371" s="21" t="n"/>
      <c r="C371" s="22" t="n"/>
      <c r="D371" s="21" t="n"/>
      <c r="E371" s="22" t="n"/>
      <c r="F371" s="23" t="n"/>
      <c r="G371" s="23" t="n"/>
      <c r="H371" s="23" t="n"/>
      <c r="I371" s="24" t="n"/>
      <c r="J371" s="25" t="n"/>
      <c r="K371" s="25" t="n"/>
      <c r="L371" s="25" t="n"/>
      <c r="M371" s="25" t="n"/>
      <c r="N371" s="26" t="n"/>
      <c r="O371" s="26" t="n"/>
      <c r="P371" s="27" t="str">
        <f>IF(OR(J371="",K371="",I371="",AF371=0,AD371=""),"",(K371-J371)*AF371*I371*AD371*AE371)</f>
        <v/>
      </c>
      <c r="Q371" s="26" t="n"/>
      <c r="R371" s="28" t="str">
        <f>IF(Q371&lt;&gt;"",Q371,IF(P371="","",P371-N(N371)+N(O371)))</f>
        <v/>
      </c>
      <c r="S371" s="27" t="str">
        <f>IF(OR(L371="",J371="",I371="",AD371=""),"",ABS(J371-L371)*I371*AD371*AE371)</f>
        <v/>
      </c>
      <c r="T371" s="29" t="str">
        <f>IF(OR(R371="",S371="",S371=0),"",R371/S371)</f>
        <v/>
      </c>
      <c r="U371" s="20" t="str">
        <f>IF(R371="","",IF(R371&gt;0,"Ganadora",IF(R371&lt;0,"Perdedora","BE")))</f>
        <v/>
      </c>
      <c r="V371" s="23" t="n"/>
      <c r="W371" s="23" t="n"/>
      <c r="X371" s="23" t="n"/>
      <c r="Y371" s="23" t="n"/>
      <c r="Z371" s="23" t="n"/>
      <c r="AA371" s="23" t="n"/>
      <c r="AB371" s="30" t="n"/>
      <c r="AC371" s="1" t="n"/>
      <c r="AD371" s="1" t="str">
        <f>IF(G371="","",IFERROR(INDEX('Listas'!$N$6:$N$35,MATCH(G371,'Listas'!$M$6:$M$35,0)),""))</f>
        <v/>
      </c>
      <c r="AE371">
        <f>IF(G371="",1,IFERROR(INDEX('Listas'!$P$6:$P$35,MATCH(G371,'Listas'!$M$6:$M$35,0)),1))</f>
        <v>1</v>
      </c>
      <c r="AF371">
        <f>IF(H371="Compra",1,IF(H371="Venta",-1,0))</f>
        <v>0</v>
      </c>
      <c r="AG371">
        <f>IF(AND(D371&lt;&gt;"",ISNUMBER(R371)),1,0)</f>
        <v>0</v>
      </c>
      <c r="AH371">
        <f>IF(AG371=0,0,IF(OR('Panel'!$D$5="Todas las cuentas",'Panel'!$D$5="",F371='Panel'!$D$5),1,0))</f>
        <v>0</v>
      </c>
      <c r="AI371">
        <f>IF(AH371=0,0,IF(AND(OR('Panel'!$G$5="",D371&gt;='Panel'!$G$5),OR('Panel'!$J$5="",D371&lt;='Panel'!$J$5)),1,0))</f>
        <v>0</v>
      </c>
      <c r="AJ371">
        <f>IF(AI371=1,R371,0)</f>
        <v>0</v>
      </c>
      <c r="AK371" t="str">
        <f>IF(AI371=1,'Panel'!$AB$4+SUM($AJ$5:AJ371),"")</f>
        <v/>
      </c>
      <c r="AL371">
        <f>IF(AI371=0,N(AL370),IF(R371&lt;0,N(AL370)+1,0))</f>
        <v>1</v>
      </c>
      <c r="AM371">
        <f>IF(AI371=0,N(AM370),IF(R371&gt;0,N(AM370)+1,0))</f>
        <v>0</v>
      </c>
      <c r="AN371">
        <f>IF(AI371=1,MAX('Panel'!$AB$4,N(AN370),AK371),N(AN370))</f>
        <v>21371.061500000033</v>
      </c>
      <c r="AO371">
        <f>IF(AI371=1,AN371-AK371,0)</f>
        <v>0</v>
      </c>
      <c r="AP371">
        <f>IF(AND(AI371=1,AN371&gt;0),AO371/AN371,0)</f>
        <v>0</v>
      </c>
      <c r="AQ371" t="str">
        <f>IF(AI371=1,SUM($AI$5:AI371),"")</f>
        <v/>
      </c>
      <c r="AR371" t="str">
        <f>IF(AI371=1,IF(COUNTIFS($D$5:D371,D371,$AI$5:AI371,1)=1,SUMIFS($AJ$5:$AJ$504,$D$5:$D$504,D371),""),"")</f>
        <v/>
      </c>
      <c r="AS371" t="str">
        <f>IF(AG371=1,WEEKDAY(D371,2),"")</f>
        <v/>
      </c>
      <c r="AT371" s="31" t="str">
        <f>IF(AG371=1,DATE(YEAR(D371),MONTH(D371),1),"")</f>
        <v/>
      </c>
      <c r="AU371">
        <f>IF(AG371=0,0,IF(AND(OR('Prop challenge'!$D$7="",F371='Prop challenge'!$D$7),OR('Prop challenge'!$D$9="",D371&gt;='Prop challenge'!$D$9)),1,0))</f>
        <v>0</v>
      </c>
      <c r="AV371">
        <f>IF(AU371=1,IF(COUNTIFS($D$5:D371,D371,$AU$5:AU371,1)=1,1,0),0)</f>
        <v>0</v>
      </c>
      <c r="AW371" t="str">
        <f>IF(AV371=1,SUM($AV$5:AV371),"")</f>
        <v/>
      </c>
      <c r="AX371" t="str">
        <f>IF(AV371=1,SUMIFS($R$5:$R$504,$D$5:$D$504,D371,$AU$5:$AU$504,1),"")</f>
        <v/>
      </c>
    </row>
    <row r="372">
      <c r="A372" s="20" t="str">
        <f>IF(AG372=1,ROW()-4,"")</f>
        <v/>
      </c>
      <c r="B372" s="21" t="n"/>
      <c r="C372" s="22" t="n"/>
      <c r="D372" s="21" t="n"/>
      <c r="E372" s="22" t="n"/>
      <c r="F372" s="23" t="n"/>
      <c r="G372" s="23" t="n"/>
      <c r="H372" s="23" t="n"/>
      <c r="I372" s="24" t="n"/>
      <c r="J372" s="25" t="n"/>
      <c r="K372" s="25" t="n"/>
      <c r="L372" s="25" t="n"/>
      <c r="M372" s="25" t="n"/>
      <c r="N372" s="26" t="n"/>
      <c r="O372" s="26" t="n"/>
      <c r="P372" s="27" t="str">
        <f>IF(OR(J372="",K372="",I372="",AF372=0,AD372=""),"",(K372-J372)*AF372*I372*AD372*AE372)</f>
        <v/>
      </c>
      <c r="Q372" s="26" t="n"/>
      <c r="R372" s="28" t="str">
        <f>IF(Q372&lt;&gt;"",Q372,IF(P372="","",P372-N(N372)+N(O372)))</f>
        <v/>
      </c>
      <c r="S372" s="27" t="str">
        <f>IF(OR(L372="",J372="",I372="",AD372=""),"",ABS(J372-L372)*I372*AD372*AE372)</f>
        <v/>
      </c>
      <c r="T372" s="29" t="str">
        <f>IF(OR(R372="",S372="",S372=0),"",R372/S372)</f>
        <v/>
      </c>
      <c r="U372" s="20" t="str">
        <f>IF(R372="","",IF(R372&gt;0,"Ganadora",IF(R372&lt;0,"Perdedora","BE")))</f>
        <v/>
      </c>
      <c r="V372" s="23" t="n"/>
      <c r="W372" s="23" t="n"/>
      <c r="X372" s="23" t="n"/>
      <c r="Y372" s="23" t="n"/>
      <c r="Z372" s="23" t="n"/>
      <c r="AA372" s="23" t="n"/>
      <c r="AB372" s="30" t="n"/>
      <c r="AC372" s="1" t="n"/>
      <c r="AD372" s="1" t="str">
        <f>IF(G372="","",IFERROR(INDEX('Listas'!$N$6:$N$35,MATCH(G372,'Listas'!$M$6:$M$35,0)),""))</f>
        <v/>
      </c>
      <c r="AE372">
        <f>IF(G372="",1,IFERROR(INDEX('Listas'!$P$6:$P$35,MATCH(G372,'Listas'!$M$6:$M$35,0)),1))</f>
        <v>1</v>
      </c>
      <c r="AF372">
        <f>IF(H372="Compra",1,IF(H372="Venta",-1,0))</f>
        <v>0</v>
      </c>
      <c r="AG372">
        <f>IF(AND(D372&lt;&gt;"",ISNUMBER(R372)),1,0)</f>
        <v>0</v>
      </c>
      <c r="AH372">
        <f>IF(AG372=0,0,IF(OR('Panel'!$D$5="Todas las cuentas",'Panel'!$D$5="",F372='Panel'!$D$5),1,0))</f>
        <v>0</v>
      </c>
      <c r="AI372">
        <f>IF(AH372=0,0,IF(AND(OR('Panel'!$G$5="",D372&gt;='Panel'!$G$5),OR('Panel'!$J$5="",D372&lt;='Panel'!$J$5)),1,0))</f>
        <v>0</v>
      </c>
      <c r="AJ372">
        <f>IF(AI372=1,R372,0)</f>
        <v>0</v>
      </c>
      <c r="AK372" t="str">
        <f>IF(AI372=1,'Panel'!$AB$4+SUM($AJ$5:AJ372),"")</f>
        <v/>
      </c>
      <c r="AL372">
        <f>IF(AI372=0,N(AL371),IF(R372&lt;0,N(AL371)+1,0))</f>
        <v>1</v>
      </c>
      <c r="AM372">
        <f>IF(AI372=0,N(AM371),IF(R372&gt;0,N(AM371)+1,0))</f>
        <v>0</v>
      </c>
      <c r="AN372">
        <f>IF(AI372=1,MAX('Panel'!$AB$4,N(AN371),AK372),N(AN371))</f>
        <v>21371.061500000033</v>
      </c>
      <c r="AO372">
        <f>IF(AI372=1,AN372-AK372,0)</f>
        <v>0</v>
      </c>
      <c r="AP372">
        <f>IF(AND(AI372=1,AN372&gt;0),AO372/AN372,0)</f>
        <v>0</v>
      </c>
      <c r="AQ372" t="str">
        <f>IF(AI372=1,SUM($AI$5:AI372),"")</f>
        <v/>
      </c>
      <c r="AR372" t="str">
        <f>IF(AI372=1,IF(COUNTIFS($D$5:D372,D372,$AI$5:AI372,1)=1,SUMIFS($AJ$5:$AJ$504,$D$5:$D$504,D372),""),"")</f>
        <v/>
      </c>
      <c r="AS372" t="str">
        <f>IF(AG372=1,WEEKDAY(D372,2),"")</f>
        <v/>
      </c>
      <c r="AT372" s="31" t="str">
        <f>IF(AG372=1,DATE(YEAR(D372),MONTH(D372),1),"")</f>
        <v/>
      </c>
      <c r="AU372">
        <f>IF(AG372=0,0,IF(AND(OR('Prop challenge'!$D$7="",F372='Prop challenge'!$D$7),OR('Prop challenge'!$D$9="",D372&gt;='Prop challenge'!$D$9)),1,0))</f>
        <v>0</v>
      </c>
      <c r="AV372">
        <f>IF(AU372=1,IF(COUNTIFS($D$5:D372,D372,$AU$5:AU372,1)=1,1,0),0)</f>
        <v>0</v>
      </c>
      <c r="AW372" t="str">
        <f>IF(AV372=1,SUM($AV$5:AV372),"")</f>
        <v/>
      </c>
      <c r="AX372" t="str">
        <f>IF(AV372=1,SUMIFS($R$5:$R$504,$D$5:$D$504,D372,$AU$5:$AU$504,1),"")</f>
        <v/>
      </c>
    </row>
    <row r="373">
      <c r="A373" s="20" t="str">
        <f>IF(AG373=1,ROW()-4,"")</f>
        <v/>
      </c>
      <c r="B373" s="21" t="n"/>
      <c r="C373" s="22" t="n"/>
      <c r="D373" s="21" t="n"/>
      <c r="E373" s="22" t="n"/>
      <c r="F373" s="23" t="n"/>
      <c r="G373" s="23" t="n"/>
      <c r="H373" s="23" t="n"/>
      <c r="I373" s="24" t="n"/>
      <c r="J373" s="25" t="n"/>
      <c r="K373" s="25" t="n"/>
      <c r="L373" s="25" t="n"/>
      <c r="M373" s="25" t="n"/>
      <c r="N373" s="26" t="n"/>
      <c r="O373" s="26" t="n"/>
      <c r="P373" s="27" t="str">
        <f>IF(OR(J373="",K373="",I373="",AF373=0,AD373=""),"",(K373-J373)*AF373*I373*AD373*AE373)</f>
        <v/>
      </c>
      <c r="Q373" s="26" t="n"/>
      <c r="R373" s="28" t="str">
        <f>IF(Q373&lt;&gt;"",Q373,IF(P373="","",P373-N(N373)+N(O373)))</f>
        <v/>
      </c>
      <c r="S373" s="27" t="str">
        <f>IF(OR(L373="",J373="",I373="",AD373=""),"",ABS(J373-L373)*I373*AD373*AE373)</f>
        <v/>
      </c>
      <c r="T373" s="29" t="str">
        <f>IF(OR(R373="",S373="",S373=0),"",R373/S373)</f>
        <v/>
      </c>
      <c r="U373" s="20" t="str">
        <f>IF(R373="","",IF(R373&gt;0,"Ganadora",IF(R373&lt;0,"Perdedora","BE")))</f>
        <v/>
      </c>
      <c r="V373" s="23" t="n"/>
      <c r="W373" s="23" t="n"/>
      <c r="X373" s="23" t="n"/>
      <c r="Y373" s="23" t="n"/>
      <c r="Z373" s="23" t="n"/>
      <c r="AA373" s="23" t="n"/>
      <c r="AB373" s="30" t="n"/>
      <c r="AC373" s="1" t="n"/>
      <c r="AD373" s="1" t="str">
        <f>IF(G373="","",IFERROR(INDEX('Listas'!$N$6:$N$35,MATCH(G373,'Listas'!$M$6:$M$35,0)),""))</f>
        <v/>
      </c>
      <c r="AE373">
        <f>IF(G373="",1,IFERROR(INDEX('Listas'!$P$6:$P$35,MATCH(G373,'Listas'!$M$6:$M$35,0)),1))</f>
        <v>1</v>
      </c>
      <c r="AF373">
        <f>IF(H373="Compra",1,IF(H373="Venta",-1,0))</f>
        <v>0</v>
      </c>
      <c r="AG373">
        <f>IF(AND(D373&lt;&gt;"",ISNUMBER(R373)),1,0)</f>
        <v>0</v>
      </c>
      <c r="AH373">
        <f>IF(AG373=0,0,IF(OR('Panel'!$D$5="Todas las cuentas",'Panel'!$D$5="",F373='Panel'!$D$5),1,0))</f>
        <v>0</v>
      </c>
      <c r="AI373">
        <f>IF(AH373=0,0,IF(AND(OR('Panel'!$G$5="",D373&gt;='Panel'!$G$5),OR('Panel'!$J$5="",D373&lt;='Panel'!$J$5)),1,0))</f>
        <v>0</v>
      </c>
      <c r="AJ373">
        <f>IF(AI373=1,R373,0)</f>
        <v>0</v>
      </c>
      <c r="AK373" t="str">
        <f>IF(AI373=1,'Panel'!$AB$4+SUM($AJ$5:AJ373),"")</f>
        <v/>
      </c>
      <c r="AL373">
        <f>IF(AI373=0,N(AL372),IF(R373&lt;0,N(AL372)+1,0))</f>
        <v>1</v>
      </c>
      <c r="AM373">
        <f>IF(AI373=0,N(AM372),IF(R373&gt;0,N(AM372)+1,0))</f>
        <v>0</v>
      </c>
      <c r="AN373">
        <f>IF(AI373=1,MAX('Panel'!$AB$4,N(AN372),AK373),N(AN372))</f>
        <v>21371.061500000033</v>
      </c>
      <c r="AO373">
        <f>IF(AI373=1,AN373-AK373,0)</f>
        <v>0</v>
      </c>
      <c r="AP373">
        <f>IF(AND(AI373=1,AN373&gt;0),AO373/AN373,0)</f>
        <v>0</v>
      </c>
      <c r="AQ373" t="str">
        <f>IF(AI373=1,SUM($AI$5:AI373),"")</f>
        <v/>
      </c>
      <c r="AR373" t="str">
        <f>IF(AI373=1,IF(COUNTIFS($D$5:D373,D373,$AI$5:AI373,1)=1,SUMIFS($AJ$5:$AJ$504,$D$5:$D$504,D373),""),"")</f>
        <v/>
      </c>
      <c r="AS373" t="str">
        <f>IF(AG373=1,WEEKDAY(D373,2),"")</f>
        <v/>
      </c>
      <c r="AT373" s="31" t="str">
        <f>IF(AG373=1,DATE(YEAR(D373),MONTH(D373),1),"")</f>
        <v/>
      </c>
      <c r="AU373">
        <f>IF(AG373=0,0,IF(AND(OR('Prop challenge'!$D$7="",F373='Prop challenge'!$D$7),OR('Prop challenge'!$D$9="",D373&gt;='Prop challenge'!$D$9)),1,0))</f>
        <v>0</v>
      </c>
      <c r="AV373">
        <f>IF(AU373=1,IF(COUNTIFS($D$5:D373,D373,$AU$5:AU373,1)=1,1,0),0)</f>
        <v>0</v>
      </c>
      <c r="AW373" t="str">
        <f>IF(AV373=1,SUM($AV$5:AV373),"")</f>
        <v/>
      </c>
      <c r="AX373" t="str">
        <f>IF(AV373=1,SUMIFS($R$5:$R$504,$D$5:$D$504,D373,$AU$5:$AU$504,1),"")</f>
        <v/>
      </c>
    </row>
    <row r="374">
      <c r="A374" s="20" t="str">
        <f>IF(AG374=1,ROW()-4,"")</f>
        <v/>
      </c>
      <c r="B374" s="21" t="n"/>
      <c r="C374" s="22" t="n"/>
      <c r="D374" s="21" t="n"/>
      <c r="E374" s="22" t="n"/>
      <c r="F374" s="23" t="n"/>
      <c r="G374" s="23" t="n"/>
      <c r="H374" s="23" t="n"/>
      <c r="I374" s="24" t="n"/>
      <c r="J374" s="25" t="n"/>
      <c r="K374" s="25" t="n"/>
      <c r="L374" s="25" t="n"/>
      <c r="M374" s="25" t="n"/>
      <c r="N374" s="26" t="n"/>
      <c r="O374" s="26" t="n"/>
      <c r="P374" s="27" t="str">
        <f>IF(OR(J374="",K374="",I374="",AF374=0,AD374=""),"",(K374-J374)*AF374*I374*AD374*AE374)</f>
        <v/>
      </c>
      <c r="Q374" s="26" t="n"/>
      <c r="R374" s="28" t="str">
        <f>IF(Q374&lt;&gt;"",Q374,IF(P374="","",P374-N(N374)+N(O374)))</f>
        <v/>
      </c>
      <c r="S374" s="27" t="str">
        <f>IF(OR(L374="",J374="",I374="",AD374=""),"",ABS(J374-L374)*I374*AD374*AE374)</f>
        <v/>
      </c>
      <c r="T374" s="29" t="str">
        <f>IF(OR(R374="",S374="",S374=0),"",R374/S374)</f>
        <v/>
      </c>
      <c r="U374" s="20" t="str">
        <f>IF(R374="","",IF(R374&gt;0,"Ganadora",IF(R374&lt;0,"Perdedora","BE")))</f>
        <v/>
      </c>
      <c r="V374" s="23" t="n"/>
      <c r="W374" s="23" t="n"/>
      <c r="X374" s="23" t="n"/>
      <c r="Y374" s="23" t="n"/>
      <c r="Z374" s="23" t="n"/>
      <c r="AA374" s="23" t="n"/>
      <c r="AB374" s="30" t="n"/>
      <c r="AC374" s="1" t="n"/>
      <c r="AD374" s="1" t="str">
        <f>IF(G374="","",IFERROR(INDEX('Listas'!$N$6:$N$35,MATCH(G374,'Listas'!$M$6:$M$35,0)),""))</f>
        <v/>
      </c>
      <c r="AE374">
        <f>IF(G374="",1,IFERROR(INDEX('Listas'!$P$6:$P$35,MATCH(G374,'Listas'!$M$6:$M$35,0)),1))</f>
        <v>1</v>
      </c>
      <c r="AF374">
        <f>IF(H374="Compra",1,IF(H374="Venta",-1,0))</f>
        <v>0</v>
      </c>
      <c r="AG374">
        <f>IF(AND(D374&lt;&gt;"",ISNUMBER(R374)),1,0)</f>
        <v>0</v>
      </c>
      <c r="AH374">
        <f>IF(AG374=0,0,IF(OR('Panel'!$D$5="Todas las cuentas",'Panel'!$D$5="",F374='Panel'!$D$5),1,0))</f>
        <v>0</v>
      </c>
      <c r="AI374">
        <f>IF(AH374=0,0,IF(AND(OR('Panel'!$G$5="",D374&gt;='Panel'!$G$5),OR('Panel'!$J$5="",D374&lt;='Panel'!$J$5)),1,0))</f>
        <v>0</v>
      </c>
      <c r="AJ374">
        <f>IF(AI374=1,R374,0)</f>
        <v>0</v>
      </c>
      <c r="AK374" t="str">
        <f>IF(AI374=1,'Panel'!$AB$4+SUM($AJ$5:AJ374),"")</f>
        <v/>
      </c>
      <c r="AL374">
        <f>IF(AI374=0,N(AL373),IF(R374&lt;0,N(AL373)+1,0))</f>
        <v>1</v>
      </c>
      <c r="AM374">
        <f>IF(AI374=0,N(AM373),IF(R374&gt;0,N(AM373)+1,0))</f>
        <v>0</v>
      </c>
      <c r="AN374">
        <f>IF(AI374=1,MAX('Panel'!$AB$4,N(AN373),AK374),N(AN373))</f>
        <v>21371.061500000033</v>
      </c>
      <c r="AO374">
        <f>IF(AI374=1,AN374-AK374,0)</f>
        <v>0</v>
      </c>
      <c r="AP374">
        <f>IF(AND(AI374=1,AN374&gt;0),AO374/AN374,0)</f>
        <v>0</v>
      </c>
      <c r="AQ374" t="str">
        <f>IF(AI374=1,SUM($AI$5:AI374),"")</f>
        <v/>
      </c>
      <c r="AR374" t="str">
        <f>IF(AI374=1,IF(COUNTIFS($D$5:D374,D374,$AI$5:AI374,1)=1,SUMIFS($AJ$5:$AJ$504,$D$5:$D$504,D374),""),"")</f>
        <v/>
      </c>
      <c r="AS374" t="str">
        <f>IF(AG374=1,WEEKDAY(D374,2),"")</f>
        <v/>
      </c>
      <c r="AT374" s="31" t="str">
        <f>IF(AG374=1,DATE(YEAR(D374),MONTH(D374),1),"")</f>
        <v/>
      </c>
      <c r="AU374">
        <f>IF(AG374=0,0,IF(AND(OR('Prop challenge'!$D$7="",F374='Prop challenge'!$D$7),OR('Prop challenge'!$D$9="",D374&gt;='Prop challenge'!$D$9)),1,0))</f>
        <v>0</v>
      </c>
      <c r="AV374">
        <f>IF(AU374=1,IF(COUNTIFS($D$5:D374,D374,$AU$5:AU374,1)=1,1,0),0)</f>
        <v>0</v>
      </c>
      <c r="AW374" t="str">
        <f>IF(AV374=1,SUM($AV$5:AV374),"")</f>
        <v/>
      </c>
      <c r="AX374" t="str">
        <f>IF(AV374=1,SUMIFS($R$5:$R$504,$D$5:$D$504,D374,$AU$5:$AU$504,1),"")</f>
        <v/>
      </c>
    </row>
    <row r="375">
      <c r="A375" s="20" t="str">
        <f>IF(AG375=1,ROW()-4,"")</f>
        <v/>
      </c>
      <c r="B375" s="21" t="n"/>
      <c r="C375" s="22" t="n"/>
      <c r="D375" s="21" t="n"/>
      <c r="E375" s="22" t="n"/>
      <c r="F375" s="23" t="n"/>
      <c r="G375" s="23" t="n"/>
      <c r="H375" s="23" t="n"/>
      <c r="I375" s="24" t="n"/>
      <c r="J375" s="25" t="n"/>
      <c r="K375" s="25" t="n"/>
      <c r="L375" s="25" t="n"/>
      <c r="M375" s="25" t="n"/>
      <c r="N375" s="26" t="n"/>
      <c r="O375" s="26" t="n"/>
      <c r="P375" s="27" t="str">
        <f>IF(OR(J375="",K375="",I375="",AF375=0,AD375=""),"",(K375-J375)*AF375*I375*AD375*AE375)</f>
        <v/>
      </c>
      <c r="Q375" s="26" t="n"/>
      <c r="R375" s="28" t="str">
        <f>IF(Q375&lt;&gt;"",Q375,IF(P375="","",P375-N(N375)+N(O375)))</f>
        <v/>
      </c>
      <c r="S375" s="27" t="str">
        <f>IF(OR(L375="",J375="",I375="",AD375=""),"",ABS(J375-L375)*I375*AD375*AE375)</f>
        <v/>
      </c>
      <c r="T375" s="29" t="str">
        <f>IF(OR(R375="",S375="",S375=0),"",R375/S375)</f>
        <v/>
      </c>
      <c r="U375" s="20" t="str">
        <f>IF(R375="","",IF(R375&gt;0,"Ganadora",IF(R375&lt;0,"Perdedora","BE")))</f>
        <v/>
      </c>
      <c r="V375" s="23" t="n"/>
      <c r="W375" s="23" t="n"/>
      <c r="X375" s="23" t="n"/>
      <c r="Y375" s="23" t="n"/>
      <c r="Z375" s="23" t="n"/>
      <c r="AA375" s="23" t="n"/>
      <c r="AB375" s="30" t="n"/>
      <c r="AC375" s="1" t="n"/>
      <c r="AD375" s="1" t="str">
        <f>IF(G375="","",IFERROR(INDEX('Listas'!$N$6:$N$35,MATCH(G375,'Listas'!$M$6:$M$35,0)),""))</f>
        <v/>
      </c>
      <c r="AE375">
        <f>IF(G375="",1,IFERROR(INDEX('Listas'!$P$6:$P$35,MATCH(G375,'Listas'!$M$6:$M$35,0)),1))</f>
        <v>1</v>
      </c>
      <c r="AF375">
        <f>IF(H375="Compra",1,IF(H375="Venta",-1,0))</f>
        <v>0</v>
      </c>
      <c r="AG375">
        <f>IF(AND(D375&lt;&gt;"",ISNUMBER(R375)),1,0)</f>
        <v>0</v>
      </c>
      <c r="AH375">
        <f>IF(AG375=0,0,IF(OR('Panel'!$D$5="Todas las cuentas",'Panel'!$D$5="",F375='Panel'!$D$5),1,0))</f>
        <v>0</v>
      </c>
      <c r="AI375">
        <f>IF(AH375=0,0,IF(AND(OR('Panel'!$G$5="",D375&gt;='Panel'!$G$5),OR('Panel'!$J$5="",D375&lt;='Panel'!$J$5)),1,0))</f>
        <v>0</v>
      </c>
      <c r="AJ375">
        <f>IF(AI375=1,R375,0)</f>
        <v>0</v>
      </c>
      <c r="AK375" t="str">
        <f>IF(AI375=1,'Panel'!$AB$4+SUM($AJ$5:AJ375),"")</f>
        <v/>
      </c>
      <c r="AL375">
        <f>IF(AI375=0,N(AL374),IF(R375&lt;0,N(AL374)+1,0))</f>
        <v>1</v>
      </c>
      <c r="AM375">
        <f>IF(AI375=0,N(AM374),IF(R375&gt;0,N(AM374)+1,0))</f>
        <v>0</v>
      </c>
      <c r="AN375">
        <f>IF(AI375=1,MAX('Panel'!$AB$4,N(AN374),AK375),N(AN374))</f>
        <v>21371.061500000033</v>
      </c>
      <c r="AO375">
        <f>IF(AI375=1,AN375-AK375,0)</f>
        <v>0</v>
      </c>
      <c r="AP375">
        <f>IF(AND(AI375=1,AN375&gt;0),AO375/AN375,0)</f>
        <v>0</v>
      </c>
      <c r="AQ375" t="str">
        <f>IF(AI375=1,SUM($AI$5:AI375),"")</f>
        <v/>
      </c>
      <c r="AR375" t="str">
        <f>IF(AI375=1,IF(COUNTIFS($D$5:D375,D375,$AI$5:AI375,1)=1,SUMIFS($AJ$5:$AJ$504,$D$5:$D$504,D375),""),"")</f>
        <v/>
      </c>
      <c r="AS375" t="str">
        <f>IF(AG375=1,WEEKDAY(D375,2),"")</f>
        <v/>
      </c>
      <c r="AT375" s="31" t="str">
        <f>IF(AG375=1,DATE(YEAR(D375),MONTH(D375),1),"")</f>
        <v/>
      </c>
      <c r="AU375">
        <f>IF(AG375=0,0,IF(AND(OR('Prop challenge'!$D$7="",F375='Prop challenge'!$D$7),OR('Prop challenge'!$D$9="",D375&gt;='Prop challenge'!$D$9)),1,0))</f>
        <v>0</v>
      </c>
      <c r="AV375">
        <f>IF(AU375=1,IF(COUNTIFS($D$5:D375,D375,$AU$5:AU375,1)=1,1,0),0)</f>
        <v>0</v>
      </c>
      <c r="AW375" t="str">
        <f>IF(AV375=1,SUM($AV$5:AV375),"")</f>
        <v/>
      </c>
      <c r="AX375" t="str">
        <f>IF(AV375=1,SUMIFS($R$5:$R$504,$D$5:$D$504,D375,$AU$5:$AU$504,1),"")</f>
        <v/>
      </c>
    </row>
    <row r="376">
      <c r="A376" s="20" t="str">
        <f>IF(AG376=1,ROW()-4,"")</f>
        <v/>
      </c>
      <c r="B376" s="21" t="n"/>
      <c r="C376" s="22" t="n"/>
      <c r="D376" s="21" t="n"/>
      <c r="E376" s="22" t="n"/>
      <c r="F376" s="23" t="n"/>
      <c r="G376" s="23" t="n"/>
      <c r="H376" s="23" t="n"/>
      <c r="I376" s="24" t="n"/>
      <c r="J376" s="25" t="n"/>
      <c r="K376" s="25" t="n"/>
      <c r="L376" s="25" t="n"/>
      <c r="M376" s="25" t="n"/>
      <c r="N376" s="26" t="n"/>
      <c r="O376" s="26" t="n"/>
      <c r="P376" s="27" t="str">
        <f>IF(OR(J376="",K376="",I376="",AF376=0,AD376=""),"",(K376-J376)*AF376*I376*AD376*AE376)</f>
        <v/>
      </c>
      <c r="Q376" s="26" t="n"/>
      <c r="R376" s="28" t="str">
        <f>IF(Q376&lt;&gt;"",Q376,IF(P376="","",P376-N(N376)+N(O376)))</f>
        <v/>
      </c>
      <c r="S376" s="27" t="str">
        <f>IF(OR(L376="",J376="",I376="",AD376=""),"",ABS(J376-L376)*I376*AD376*AE376)</f>
        <v/>
      </c>
      <c r="T376" s="29" t="str">
        <f>IF(OR(R376="",S376="",S376=0),"",R376/S376)</f>
        <v/>
      </c>
      <c r="U376" s="20" t="str">
        <f>IF(R376="","",IF(R376&gt;0,"Ganadora",IF(R376&lt;0,"Perdedora","BE")))</f>
        <v/>
      </c>
      <c r="V376" s="23" t="n"/>
      <c r="W376" s="23" t="n"/>
      <c r="X376" s="23" t="n"/>
      <c r="Y376" s="23" t="n"/>
      <c r="Z376" s="23" t="n"/>
      <c r="AA376" s="23" t="n"/>
      <c r="AB376" s="30" t="n"/>
      <c r="AC376" s="1" t="n"/>
      <c r="AD376" s="1" t="str">
        <f>IF(G376="","",IFERROR(INDEX('Listas'!$N$6:$N$35,MATCH(G376,'Listas'!$M$6:$M$35,0)),""))</f>
        <v/>
      </c>
      <c r="AE376">
        <f>IF(G376="",1,IFERROR(INDEX('Listas'!$P$6:$P$35,MATCH(G376,'Listas'!$M$6:$M$35,0)),1))</f>
        <v>1</v>
      </c>
      <c r="AF376">
        <f>IF(H376="Compra",1,IF(H376="Venta",-1,0))</f>
        <v>0</v>
      </c>
      <c r="AG376">
        <f>IF(AND(D376&lt;&gt;"",ISNUMBER(R376)),1,0)</f>
        <v>0</v>
      </c>
      <c r="AH376">
        <f>IF(AG376=0,0,IF(OR('Panel'!$D$5="Todas las cuentas",'Panel'!$D$5="",F376='Panel'!$D$5),1,0))</f>
        <v>0</v>
      </c>
      <c r="AI376">
        <f>IF(AH376=0,0,IF(AND(OR('Panel'!$G$5="",D376&gt;='Panel'!$G$5),OR('Panel'!$J$5="",D376&lt;='Panel'!$J$5)),1,0))</f>
        <v>0</v>
      </c>
      <c r="AJ376">
        <f>IF(AI376=1,R376,0)</f>
        <v>0</v>
      </c>
      <c r="AK376" t="str">
        <f>IF(AI376=1,'Panel'!$AB$4+SUM($AJ$5:AJ376),"")</f>
        <v/>
      </c>
      <c r="AL376">
        <f>IF(AI376=0,N(AL375),IF(R376&lt;0,N(AL375)+1,0))</f>
        <v>1</v>
      </c>
      <c r="AM376">
        <f>IF(AI376=0,N(AM375),IF(R376&gt;0,N(AM375)+1,0))</f>
        <v>0</v>
      </c>
      <c r="AN376">
        <f>IF(AI376=1,MAX('Panel'!$AB$4,N(AN375),AK376),N(AN375))</f>
        <v>21371.061500000033</v>
      </c>
      <c r="AO376">
        <f>IF(AI376=1,AN376-AK376,0)</f>
        <v>0</v>
      </c>
      <c r="AP376">
        <f>IF(AND(AI376=1,AN376&gt;0),AO376/AN376,0)</f>
        <v>0</v>
      </c>
      <c r="AQ376" t="str">
        <f>IF(AI376=1,SUM($AI$5:AI376),"")</f>
        <v/>
      </c>
      <c r="AR376" t="str">
        <f>IF(AI376=1,IF(COUNTIFS($D$5:D376,D376,$AI$5:AI376,1)=1,SUMIFS($AJ$5:$AJ$504,$D$5:$D$504,D376),""),"")</f>
        <v/>
      </c>
      <c r="AS376" t="str">
        <f>IF(AG376=1,WEEKDAY(D376,2),"")</f>
        <v/>
      </c>
      <c r="AT376" s="31" t="str">
        <f>IF(AG376=1,DATE(YEAR(D376),MONTH(D376),1),"")</f>
        <v/>
      </c>
      <c r="AU376">
        <f>IF(AG376=0,0,IF(AND(OR('Prop challenge'!$D$7="",F376='Prop challenge'!$D$7),OR('Prop challenge'!$D$9="",D376&gt;='Prop challenge'!$D$9)),1,0))</f>
        <v>0</v>
      </c>
      <c r="AV376">
        <f>IF(AU376=1,IF(COUNTIFS($D$5:D376,D376,$AU$5:AU376,1)=1,1,0),0)</f>
        <v>0</v>
      </c>
      <c r="AW376" t="str">
        <f>IF(AV376=1,SUM($AV$5:AV376),"")</f>
        <v/>
      </c>
      <c r="AX376" t="str">
        <f>IF(AV376=1,SUMIFS($R$5:$R$504,$D$5:$D$504,D376,$AU$5:$AU$504,1),"")</f>
        <v/>
      </c>
    </row>
    <row r="377">
      <c r="A377" s="20" t="str">
        <f>IF(AG377=1,ROW()-4,"")</f>
        <v/>
      </c>
      <c r="B377" s="21" t="n"/>
      <c r="C377" s="22" t="n"/>
      <c r="D377" s="21" t="n"/>
      <c r="E377" s="22" t="n"/>
      <c r="F377" s="23" t="n"/>
      <c r="G377" s="23" t="n"/>
      <c r="H377" s="23" t="n"/>
      <c r="I377" s="24" t="n"/>
      <c r="J377" s="25" t="n"/>
      <c r="K377" s="25" t="n"/>
      <c r="L377" s="25" t="n"/>
      <c r="M377" s="25" t="n"/>
      <c r="N377" s="26" t="n"/>
      <c r="O377" s="26" t="n"/>
      <c r="P377" s="27" t="str">
        <f>IF(OR(J377="",K377="",I377="",AF377=0,AD377=""),"",(K377-J377)*AF377*I377*AD377*AE377)</f>
        <v/>
      </c>
      <c r="Q377" s="26" t="n"/>
      <c r="R377" s="28" t="str">
        <f>IF(Q377&lt;&gt;"",Q377,IF(P377="","",P377-N(N377)+N(O377)))</f>
        <v/>
      </c>
      <c r="S377" s="27" t="str">
        <f>IF(OR(L377="",J377="",I377="",AD377=""),"",ABS(J377-L377)*I377*AD377*AE377)</f>
        <v/>
      </c>
      <c r="T377" s="29" t="str">
        <f>IF(OR(R377="",S377="",S377=0),"",R377/S377)</f>
        <v/>
      </c>
      <c r="U377" s="20" t="str">
        <f>IF(R377="","",IF(R377&gt;0,"Ganadora",IF(R377&lt;0,"Perdedora","BE")))</f>
        <v/>
      </c>
      <c r="V377" s="23" t="n"/>
      <c r="W377" s="23" t="n"/>
      <c r="X377" s="23" t="n"/>
      <c r="Y377" s="23" t="n"/>
      <c r="Z377" s="23" t="n"/>
      <c r="AA377" s="23" t="n"/>
      <c r="AB377" s="30" t="n"/>
      <c r="AC377" s="1" t="n"/>
      <c r="AD377" s="1" t="str">
        <f>IF(G377="","",IFERROR(INDEX('Listas'!$N$6:$N$35,MATCH(G377,'Listas'!$M$6:$M$35,0)),""))</f>
        <v/>
      </c>
      <c r="AE377">
        <f>IF(G377="",1,IFERROR(INDEX('Listas'!$P$6:$P$35,MATCH(G377,'Listas'!$M$6:$M$35,0)),1))</f>
        <v>1</v>
      </c>
      <c r="AF377">
        <f>IF(H377="Compra",1,IF(H377="Venta",-1,0))</f>
        <v>0</v>
      </c>
      <c r="AG377">
        <f>IF(AND(D377&lt;&gt;"",ISNUMBER(R377)),1,0)</f>
        <v>0</v>
      </c>
      <c r="AH377">
        <f>IF(AG377=0,0,IF(OR('Panel'!$D$5="Todas las cuentas",'Panel'!$D$5="",F377='Panel'!$D$5),1,0))</f>
        <v>0</v>
      </c>
      <c r="AI377">
        <f>IF(AH377=0,0,IF(AND(OR('Panel'!$G$5="",D377&gt;='Panel'!$G$5),OR('Panel'!$J$5="",D377&lt;='Panel'!$J$5)),1,0))</f>
        <v>0</v>
      </c>
      <c r="AJ377">
        <f>IF(AI377=1,R377,0)</f>
        <v>0</v>
      </c>
      <c r="AK377" t="str">
        <f>IF(AI377=1,'Panel'!$AB$4+SUM($AJ$5:AJ377),"")</f>
        <v/>
      </c>
      <c r="AL377">
        <f>IF(AI377=0,N(AL376),IF(R377&lt;0,N(AL376)+1,0))</f>
        <v>1</v>
      </c>
      <c r="AM377">
        <f>IF(AI377=0,N(AM376),IF(R377&gt;0,N(AM376)+1,0))</f>
        <v>0</v>
      </c>
      <c r="AN377">
        <f>IF(AI377=1,MAX('Panel'!$AB$4,N(AN376),AK377),N(AN376))</f>
        <v>21371.061500000033</v>
      </c>
      <c r="AO377">
        <f>IF(AI377=1,AN377-AK377,0)</f>
        <v>0</v>
      </c>
      <c r="AP377">
        <f>IF(AND(AI377=1,AN377&gt;0),AO377/AN377,0)</f>
        <v>0</v>
      </c>
      <c r="AQ377" t="str">
        <f>IF(AI377=1,SUM($AI$5:AI377),"")</f>
        <v/>
      </c>
      <c r="AR377" t="str">
        <f>IF(AI377=1,IF(COUNTIFS($D$5:D377,D377,$AI$5:AI377,1)=1,SUMIFS($AJ$5:$AJ$504,$D$5:$D$504,D377),""),"")</f>
        <v/>
      </c>
      <c r="AS377" t="str">
        <f>IF(AG377=1,WEEKDAY(D377,2),"")</f>
        <v/>
      </c>
      <c r="AT377" s="31" t="str">
        <f>IF(AG377=1,DATE(YEAR(D377),MONTH(D377),1),"")</f>
        <v/>
      </c>
      <c r="AU377">
        <f>IF(AG377=0,0,IF(AND(OR('Prop challenge'!$D$7="",F377='Prop challenge'!$D$7),OR('Prop challenge'!$D$9="",D377&gt;='Prop challenge'!$D$9)),1,0))</f>
        <v>0</v>
      </c>
      <c r="AV377">
        <f>IF(AU377=1,IF(COUNTIFS($D$5:D377,D377,$AU$5:AU377,1)=1,1,0),0)</f>
        <v>0</v>
      </c>
      <c r="AW377" t="str">
        <f>IF(AV377=1,SUM($AV$5:AV377),"")</f>
        <v/>
      </c>
      <c r="AX377" t="str">
        <f>IF(AV377=1,SUMIFS($R$5:$R$504,$D$5:$D$504,D377,$AU$5:$AU$504,1),"")</f>
        <v/>
      </c>
    </row>
    <row r="378">
      <c r="A378" s="20" t="str">
        <f>IF(AG378=1,ROW()-4,"")</f>
        <v/>
      </c>
      <c r="B378" s="21" t="n"/>
      <c r="C378" s="22" t="n"/>
      <c r="D378" s="21" t="n"/>
      <c r="E378" s="22" t="n"/>
      <c r="F378" s="23" t="n"/>
      <c r="G378" s="23" t="n"/>
      <c r="H378" s="23" t="n"/>
      <c r="I378" s="24" t="n"/>
      <c r="J378" s="25" t="n"/>
      <c r="K378" s="25" t="n"/>
      <c r="L378" s="25" t="n"/>
      <c r="M378" s="25" t="n"/>
      <c r="N378" s="26" t="n"/>
      <c r="O378" s="26" t="n"/>
      <c r="P378" s="27" t="str">
        <f>IF(OR(J378="",K378="",I378="",AF378=0,AD378=""),"",(K378-J378)*AF378*I378*AD378*AE378)</f>
        <v/>
      </c>
      <c r="Q378" s="26" t="n"/>
      <c r="R378" s="28" t="str">
        <f>IF(Q378&lt;&gt;"",Q378,IF(P378="","",P378-N(N378)+N(O378)))</f>
        <v/>
      </c>
      <c r="S378" s="27" t="str">
        <f>IF(OR(L378="",J378="",I378="",AD378=""),"",ABS(J378-L378)*I378*AD378*AE378)</f>
        <v/>
      </c>
      <c r="T378" s="29" t="str">
        <f>IF(OR(R378="",S378="",S378=0),"",R378/S378)</f>
        <v/>
      </c>
      <c r="U378" s="20" t="str">
        <f>IF(R378="","",IF(R378&gt;0,"Ganadora",IF(R378&lt;0,"Perdedora","BE")))</f>
        <v/>
      </c>
      <c r="V378" s="23" t="n"/>
      <c r="W378" s="23" t="n"/>
      <c r="X378" s="23" t="n"/>
      <c r="Y378" s="23" t="n"/>
      <c r="Z378" s="23" t="n"/>
      <c r="AA378" s="23" t="n"/>
      <c r="AB378" s="30" t="n"/>
      <c r="AC378" s="1" t="n"/>
      <c r="AD378" s="1" t="str">
        <f>IF(G378="","",IFERROR(INDEX('Listas'!$N$6:$N$35,MATCH(G378,'Listas'!$M$6:$M$35,0)),""))</f>
        <v/>
      </c>
      <c r="AE378">
        <f>IF(G378="",1,IFERROR(INDEX('Listas'!$P$6:$P$35,MATCH(G378,'Listas'!$M$6:$M$35,0)),1))</f>
        <v>1</v>
      </c>
      <c r="AF378">
        <f>IF(H378="Compra",1,IF(H378="Venta",-1,0))</f>
        <v>0</v>
      </c>
      <c r="AG378">
        <f>IF(AND(D378&lt;&gt;"",ISNUMBER(R378)),1,0)</f>
        <v>0</v>
      </c>
      <c r="AH378">
        <f>IF(AG378=0,0,IF(OR('Panel'!$D$5="Todas las cuentas",'Panel'!$D$5="",F378='Panel'!$D$5),1,0))</f>
        <v>0</v>
      </c>
      <c r="AI378">
        <f>IF(AH378=0,0,IF(AND(OR('Panel'!$G$5="",D378&gt;='Panel'!$G$5),OR('Panel'!$J$5="",D378&lt;='Panel'!$J$5)),1,0))</f>
        <v>0</v>
      </c>
      <c r="AJ378">
        <f>IF(AI378=1,R378,0)</f>
        <v>0</v>
      </c>
      <c r="AK378" t="str">
        <f>IF(AI378=1,'Panel'!$AB$4+SUM($AJ$5:AJ378),"")</f>
        <v/>
      </c>
      <c r="AL378">
        <f>IF(AI378=0,N(AL377),IF(R378&lt;0,N(AL377)+1,0))</f>
        <v>1</v>
      </c>
      <c r="AM378">
        <f>IF(AI378=0,N(AM377),IF(R378&gt;0,N(AM377)+1,0))</f>
        <v>0</v>
      </c>
      <c r="AN378">
        <f>IF(AI378=1,MAX('Panel'!$AB$4,N(AN377),AK378),N(AN377))</f>
        <v>21371.061500000033</v>
      </c>
      <c r="AO378">
        <f>IF(AI378=1,AN378-AK378,0)</f>
        <v>0</v>
      </c>
      <c r="AP378">
        <f>IF(AND(AI378=1,AN378&gt;0),AO378/AN378,0)</f>
        <v>0</v>
      </c>
      <c r="AQ378" t="str">
        <f>IF(AI378=1,SUM($AI$5:AI378),"")</f>
        <v/>
      </c>
      <c r="AR378" t="str">
        <f>IF(AI378=1,IF(COUNTIFS($D$5:D378,D378,$AI$5:AI378,1)=1,SUMIFS($AJ$5:$AJ$504,$D$5:$D$504,D378),""),"")</f>
        <v/>
      </c>
      <c r="AS378" t="str">
        <f>IF(AG378=1,WEEKDAY(D378,2),"")</f>
        <v/>
      </c>
      <c r="AT378" s="31" t="str">
        <f>IF(AG378=1,DATE(YEAR(D378),MONTH(D378),1),"")</f>
        <v/>
      </c>
      <c r="AU378">
        <f>IF(AG378=0,0,IF(AND(OR('Prop challenge'!$D$7="",F378='Prop challenge'!$D$7),OR('Prop challenge'!$D$9="",D378&gt;='Prop challenge'!$D$9)),1,0))</f>
        <v>0</v>
      </c>
      <c r="AV378">
        <f>IF(AU378=1,IF(COUNTIFS($D$5:D378,D378,$AU$5:AU378,1)=1,1,0),0)</f>
        <v>0</v>
      </c>
      <c r="AW378" t="str">
        <f>IF(AV378=1,SUM($AV$5:AV378),"")</f>
        <v/>
      </c>
      <c r="AX378" t="str">
        <f>IF(AV378=1,SUMIFS($R$5:$R$504,$D$5:$D$504,D378,$AU$5:$AU$504,1),"")</f>
        <v/>
      </c>
    </row>
    <row r="379">
      <c r="A379" s="20" t="str">
        <f>IF(AG379=1,ROW()-4,"")</f>
        <v/>
      </c>
      <c r="B379" s="21" t="n"/>
      <c r="C379" s="22" t="n"/>
      <c r="D379" s="21" t="n"/>
      <c r="E379" s="22" t="n"/>
      <c r="F379" s="23" t="n"/>
      <c r="G379" s="23" t="n"/>
      <c r="H379" s="23" t="n"/>
      <c r="I379" s="24" t="n"/>
      <c r="J379" s="25" t="n"/>
      <c r="K379" s="25" t="n"/>
      <c r="L379" s="25" t="n"/>
      <c r="M379" s="25" t="n"/>
      <c r="N379" s="26" t="n"/>
      <c r="O379" s="26" t="n"/>
      <c r="P379" s="27" t="str">
        <f>IF(OR(J379="",K379="",I379="",AF379=0,AD379=""),"",(K379-J379)*AF379*I379*AD379*AE379)</f>
        <v/>
      </c>
      <c r="Q379" s="26" t="n"/>
      <c r="R379" s="28" t="str">
        <f>IF(Q379&lt;&gt;"",Q379,IF(P379="","",P379-N(N379)+N(O379)))</f>
        <v/>
      </c>
      <c r="S379" s="27" t="str">
        <f>IF(OR(L379="",J379="",I379="",AD379=""),"",ABS(J379-L379)*I379*AD379*AE379)</f>
        <v/>
      </c>
      <c r="T379" s="29" t="str">
        <f>IF(OR(R379="",S379="",S379=0),"",R379/S379)</f>
        <v/>
      </c>
      <c r="U379" s="20" t="str">
        <f>IF(R379="","",IF(R379&gt;0,"Ganadora",IF(R379&lt;0,"Perdedora","BE")))</f>
        <v/>
      </c>
      <c r="V379" s="23" t="n"/>
      <c r="W379" s="23" t="n"/>
      <c r="X379" s="23" t="n"/>
      <c r="Y379" s="23" t="n"/>
      <c r="Z379" s="23" t="n"/>
      <c r="AA379" s="23" t="n"/>
      <c r="AB379" s="30" t="n"/>
      <c r="AC379" s="1" t="n"/>
      <c r="AD379" s="1" t="str">
        <f>IF(G379="","",IFERROR(INDEX('Listas'!$N$6:$N$35,MATCH(G379,'Listas'!$M$6:$M$35,0)),""))</f>
        <v/>
      </c>
      <c r="AE379">
        <f>IF(G379="",1,IFERROR(INDEX('Listas'!$P$6:$P$35,MATCH(G379,'Listas'!$M$6:$M$35,0)),1))</f>
        <v>1</v>
      </c>
      <c r="AF379">
        <f>IF(H379="Compra",1,IF(H379="Venta",-1,0))</f>
        <v>0</v>
      </c>
      <c r="AG379">
        <f>IF(AND(D379&lt;&gt;"",ISNUMBER(R379)),1,0)</f>
        <v>0</v>
      </c>
      <c r="AH379">
        <f>IF(AG379=0,0,IF(OR('Panel'!$D$5="Todas las cuentas",'Panel'!$D$5="",F379='Panel'!$D$5),1,0))</f>
        <v>0</v>
      </c>
      <c r="AI379">
        <f>IF(AH379=0,0,IF(AND(OR('Panel'!$G$5="",D379&gt;='Panel'!$G$5),OR('Panel'!$J$5="",D379&lt;='Panel'!$J$5)),1,0))</f>
        <v>0</v>
      </c>
      <c r="AJ379">
        <f>IF(AI379=1,R379,0)</f>
        <v>0</v>
      </c>
      <c r="AK379" t="str">
        <f>IF(AI379=1,'Panel'!$AB$4+SUM($AJ$5:AJ379),"")</f>
        <v/>
      </c>
      <c r="AL379">
        <f>IF(AI379=0,N(AL378),IF(R379&lt;0,N(AL378)+1,0))</f>
        <v>1</v>
      </c>
      <c r="AM379">
        <f>IF(AI379=0,N(AM378),IF(R379&gt;0,N(AM378)+1,0))</f>
        <v>0</v>
      </c>
      <c r="AN379">
        <f>IF(AI379=1,MAX('Panel'!$AB$4,N(AN378),AK379),N(AN378))</f>
        <v>21371.061500000033</v>
      </c>
      <c r="AO379">
        <f>IF(AI379=1,AN379-AK379,0)</f>
        <v>0</v>
      </c>
      <c r="AP379">
        <f>IF(AND(AI379=1,AN379&gt;0),AO379/AN379,0)</f>
        <v>0</v>
      </c>
      <c r="AQ379" t="str">
        <f>IF(AI379=1,SUM($AI$5:AI379),"")</f>
        <v/>
      </c>
      <c r="AR379" t="str">
        <f>IF(AI379=1,IF(COUNTIFS($D$5:D379,D379,$AI$5:AI379,1)=1,SUMIFS($AJ$5:$AJ$504,$D$5:$D$504,D379),""),"")</f>
        <v/>
      </c>
      <c r="AS379" t="str">
        <f>IF(AG379=1,WEEKDAY(D379,2),"")</f>
        <v/>
      </c>
      <c r="AT379" s="31" t="str">
        <f>IF(AG379=1,DATE(YEAR(D379),MONTH(D379),1),"")</f>
        <v/>
      </c>
      <c r="AU379">
        <f>IF(AG379=0,0,IF(AND(OR('Prop challenge'!$D$7="",F379='Prop challenge'!$D$7),OR('Prop challenge'!$D$9="",D379&gt;='Prop challenge'!$D$9)),1,0))</f>
        <v>0</v>
      </c>
      <c r="AV379">
        <f>IF(AU379=1,IF(COUNTIFS($D$5:D379,D379,$AU$5:AU379,1)=1,1,0),0)</f>
        <v>0</v>
      </c>
      <c r="AW379" t="str">
        <f>IF(AV379=1,SUM($AV$5:AV379),"")</f>
        <v/>
      </c>
      <c r="AX379" t="str">
        <f>IF(AV379=1,SUMIFS($R$5:$R$504,$D$5:$D$504,D379,$AU$5:$AU$504,1),"")</f>
        <v/>
      </c>
    </row>
    <row r="380">
      <c r="A380" s="20" t="str">
        <f>IF(AG380=1,ROW()-4,"")</f>
        <v/>
      </c>
      <c r="B380" s="21" t="n"/>
      <c r="C380" s="22" t="n"/>
      <c r="D380" s="21" t="n"/>
      <c r="E380" s="22" t="n"/>
      <c r="F380" s="23" t="n"/>
      <c r="G380" s="23" t="n"/>
      <c r="H380" s="23" t="n"/>
      <c r="I380" s="24" t="n"/>
      <c r="J380" s="25" t="n"/>
      <c r="K380" s="25" t="n"/>
      <c r="L380" s="25" t="n"/>
      <c r="M380" s="25" t="n"/>
      <c r="N380" s="26" t="n"/>
      <c r="O380" s="26" t="n"/>
      <c r="P380" s="27" t="str">
        <f>IF(OR(J380="",K380="",I380="",AF380=0,AD380=""),"",(K380-J380)*AF380*I380*AD380*AE380)</f>
        <v/>
      </c>
      <c r="Q380" s="26" t="n"/>
      <c r="R380" s="28" t="str">
        <f>IF(Q380&lt;&gt;"",Q380,IF(P380="","",P380-N(N380)+N(O380)))</f>
        <v/>
      </c>
      <c r="S380" s="27" t="str">
        <f>IF(OR(L380="",J380="",I380="",AD380=""),"",ABS(J380-L380)*I380*AD380*AE380)</f>
        <v/>
      </c>
      <c r="T380" s="29" t="str">
        <f>IF(OR(R380="",S380="",S380=0),"",R380/S380)</f>
        <v/>
      </c>
      <c r="U380" s="20" t="str">
        <f>IF(R380="","",IF(R380&gt;0,"Ganadora",IF(R380&lt;0,"Perdedora","BE")))</f>
        <v/>
      </c>
      <c r="V380" s="23" t="n"/>
      <c r="W380" s="23" t="n"/>
      <c r="X380" s="23" t="n"/>
      <c r="Y380" s="23" t="n"/>
      <c r="Z380" s="23" t="n"/>
      <c r="AA380" s="23" t="n"/>
      <c r="AB380" s="30" t="n"/>
      <c r="AC380" s="1" t="n"/>
      <c r="AD380" s="1" t="str">
        <f>IF(G380="","",IFERROR(INDEX('Listas'!$N$6:$N$35,MATCH(G380,'Listas'!$M$6:$M$35,0)),""))</f>
        <v/>
      </c>
      <c r="AE380">
        <f>IF(G380="",1,IFERROR(INDEX('Listas'!$P$6:$P$35,MATCH(G380,'Listas'!$M$6:$M$35,0)),1))</f>
        <v>1</v>
      </c>
      <c r="AF380">
        <f>IF(H380="Compra",1,IF(H380="Venta",-1,0))</f>
        <v>0</v>
      </c>
      <c r="AG380">
        <f>IF(AND(D380&lt;&gt;"",ISNUMBER(R380)),1,0)</f>
        <v>0</v>
      </c>
      <c r="AH380">
        <f>IF(AG380=0,0,IF(OR('Panel'!$D$5="Todas las cuentas",'Panel'!$D$5="",F380='Panel'!$D$5),1,0))</f>
        <v>0</v>
      </c>
      <c r="AI380">
        <f>IF(AH380=0,0,IF(AND(OR('Panel'!$G$5="",D380&gt;='Panel'!$G$5),OR('Panel'!$J$5="",D380&lt;='Panel'!$J$5)),1,0))</f>
        <v>0</v>
      </c>
      <c r="AJ380">
        <f>IF(AI380=1,R380,0)</f>
        <v>0</v>
      </c>
      <c r="AK380" t="str">
        <f>IF(AI380=1,'Panel'!$AB$4+SUM($AJ$5:AJ380),"")</f>
        <v/>
      </c>
      <c r="AL380">
        <f>IF(AI380=0,N(AL379),IF(R380&lt;0,N(AL379)+1,0))</f>
        <v>1</v>
      </c>
      <c r="AM380">
        <f>IF(AI380=0,N(AM379),IF(R380&gt;0,N(AM379)+1,0))</f>
        <v>0</v>
      </c>
      <c r="AN380">
        <f>IF(AI380=1,MAX('Panel'!$AB$4,N(AN379),AK380),N(AN379))</f>
        <v>21371.061500000033</v>
      </c>
      <c r="AO380">
        <f>IF(AI380=1,AN380-AK380,0)</f>
        <v>0</v>
      </c>
      <c r="AP380">
        <f>IF(AND(AI380=1,AN380&gt;0),AO380/AN380,0)</f>
        <v>0</v>
      </c>
      <c r="AQ380" t="str">
        <f>IF(AI380=1,SUM($AI$5:AI380),"")</f>
        <v/>
      </c>
      <c r="AR380" t="str">
        <f>IF(AI380=1,IF(COUNTIFS($D$5:D380,D380,$AI$5:AI380,1)=1,SUMIFS($AJ$5:$AJ$504,$D$5:$D$504,D380),""),"")</f>
        <v/>
      </c>
      <c r="AS380" t="str">
        <f>IF(AG380=1,WEEKDAY(D380,2),"")</f>
        <v/>
      </c>
      <c r="AT380" s="31" t="str">
        <f>IF(AG380=1,DATE(YEAR(D380),MONTH(D380),1),"")</f>
        <v/>
      </c>
      <c r="AU380">
        <f>IF(AG380=0,0,IF(AND(OR('Prop challenge'!$D$7="",F380='Prop challenge'!$D$7),OR('Prop challenge'!$D$9="",D380&gt;='Prop challenge'!$D$9)),1,0))</f>
        <v>0</v>
      </c>
      <c r="AV380">
        <f>IF(AU380=1,IF(COUNTIFS($D$5:D380,D380,$AU$5:AU380,1)=1,1,0),0)</f>
        <v>0</v>
      </c>
      <c r="AW380" t="str">
        <f>IF(AV380=1,SUM($AV$5:AV380),"")</f>
        <v/>
      </c>
      <c r="AX380" t="str">
        <f>IF(AV380=1,SUMIFS($R$5:$R$504,$D$5:$D$504,D380,$AU$5:$AU$504,1),"")</f>
        <v/>
      </c>
    </row>
    <row r="381">
      <c r="A381" s="20" t="str">
        <f>IF(AG381=1,ROW()-4,"")</f>
        <v/>
      </c>
      <c r="B381" s="21" t="n"/>
      <c r="C381" s="22" t="n"/>
      <c r="D381" s="21" t="n"/>
      <c r="E381" s="22" t="n"/>
      <c r="F381" s="23" t="n"/>
      <c r="G381" s="23" t="n"/>
      <c r="H381" s="23" t="n"/>
      <c r="I381" s="24" t="n"/>
      <c r="J381" s="25" t="n"/>
      <c r="K381" s="25" t="n"/>
      <c r="L381" s="25" t="n"/>
      <c r="M381" s="25" t="n"/>
      <c r="N381" s="26" t="n"/>
      <c r="O381" s="26" t="n"/>
      <c r="P381" s="27" t="str">
        <f>IF(OR(J381="",K381="",I381="",AF381=0,AD381=""),"",(K381-J381)*AF381*I381*AD381*AE381)</f>
        <v/>
      </c>
      <c r="Q381" s="26" t="n"/>
      <c r="R381" s="28" t="str">
        <f>IF(Q381&lt;&gt;"",Q381,IF(P381="","",P381-N(N381)+N(O381)))</f>
        <v/>
      </c>
      <c r="S381" s="27" t="str">
        <f>IF(OR(L381="",J381="",I381="",AD381=""),"",ABS(J381-L381)*I381*AD381*AE381)</f>
        <v/>
      </c>
      <c r="T381" s="29" t="str">
        <f>IF(OR(R381="",S381="",S381=0),"",R381/S381)</f>
        <v/>
      </c>
      <c r="U381" s="20" t="str">
        <f>IF(R381="","",IF(R381&gt;0,"Ganadora",IF(R381&lt;0,"Perdedora","BE")))</f>
        <v/>
      </c>
      <c r="V381" s="23" t="n"/>
      <c r="W381" s="23" t="n"/>
      <c r="X381" s="23" t="n"/>
      <c r="Y381" s="23" t="n"/>
      <c r="Z381" s="23" t="n"/>
      <c r="AA381" s="23" t="n"/>
      <c r="AB381" s="30" t="n"/>
      <c r="AC381" s="1" t="n"/>
      <c r="AD381" s="1" t="str">
        <f>IF(G381="","",IFERROR(INDEX('Listas'!$N$6:$N$35,MATCH(G381,'Listas'!$M$6:$M$35,0)),""))</f>
        <v/>
      </c>
      <c r="AE381">
        <f>IF(G381="",1,IFERROR(INDEX('Listas'!$P$6:$P$35,MATCH(G381,'Listas'!$M$6:$M$35,0)),1))</f>
        <v>1</v>
      </c>
      <c r="AF381">
        <f>IF(H381="Compra",1,IF(H381="Venta",-1,0))</f>
        <v>0</v>
      </c>
      <c r="AG381">
        <f>IF(AND(D381&lt;&gt;"",ISNUMBER(R381)),1,0)</f>
        <v>0</v>
      </c>
      <c r="AH381">
        <f>IF(AG381=0,0,IF(OR('Panel'!$D$5="Todas las cuentas",'Panel'!$D$5="",F381='Panel'!$D$5),1,0))</f>
        <v>0</v>
      </c>
      <c r="AI381">
        <f>IF(AH381=0,0,IF(AND(OR('Panel'!$G$5="",D381&gt;='Panel'!$G$5),OR('Panel'!$J$5="",D381&lt;='Panel'!$J$5)),1,0))</f>
        <v>0</v>
      </c>
      <c r="AJ381">
        <f>IF(AI381=1,R381,0)</f>
        <v>0</v>
      </c>
      <c r="AK381" t="str">
        <f>IF(AI381=1,'Panel'!$AB$4+SUM($AJ$5:AJ381),"")</f>
        <v/>
      </c>
      <c r="AL381">
        <f>IF(AI381=0,N(AL380),IF(R381&lt;0,N(AL380)+1,0))</f>
        <v>1</v>
      </c>
      <c r="AM381">
        <f>IF(AI381=0,N(AM380),IF(R381&gt;0,N(AM380)+1,0))</f>
        <v>0</v>
      </c>
      <c r="AN381">
        <f>IF(AI381=1,MAX('Panel'!$AB$4,N(AN380),AK381),N(AN380))</f>
        <v>21371.061500000033</v>
      </c>
      <c r="AO381">
        <f>IF(AI381=1,AN381-AK381,0)</f>
        <v>0</v>
      </c>
      <c r="AP381">
        <f>IF(AND(AI381=1,AN381&gt;0),AO381/AN381,0)</f>
        <v>0</v>
      </c>
      <c r="AQ381" t="str">
        <f>IF(AI381=1,SUM($AI$5:AI381),"")</f>
        <v/>
      </c>
      <c r="AR381" t="str">
        <f>IF(AI381=1,IF(COUNTIFS($D$5:D381,D381,$AI$5:AI381,1)=1,SUMIFS($AJ$5:$AJ$504,$D$5:$D$504,D381),""),"")</f>
        <v/>
      </c>
      <c r="AS381" t="str">
        <f>IF(AG381=1,WEEKDAY(D381,2),"")</f>
        <v/>
      </c>
      <c r="AT381" s="31" t="str">
        <f>IF(AG381=1,DATE(YEAR(D381),MONTH(D381),1),"")</f>
        <v/>
      </c>
      <c r="AU381">
        <f>IF(AG381=0,0,IF(AND(OR('Prop challenge'!$D$7="",F381='Prop challenge'!$D$7),OR('Prop challenge'!$D$9="",D381&gt;='Prop challenge'!$D$9)),1,0))</f>
        <v>0</v>
      </c>
      <c r="AV381">
        <f>IF(AU381=1,IF(COUNTIFS($D$5:D381,D381,$AU$5:AU381,1)=1,1,0),0)</f>
        <v>0</v>
      </c>
      <c r="AW381" t="str">
        <f>IF(AV381=1,SUM($AV$5:AV381),"")</f>
        <v/>
      </c>
      <c r="AX381" t="str">
        <f>IF(AV381=1,SUMIFS($R$5:$R$504,$D$5:$D$504,D381,$AU$5:$AU$504,1),"")</f>
        <v/>
      </c>
    </row>
    <row r="382">
      <c r="A382" s="20" t="str">
        <f>IF(AG382=1,ROW()-4,"")</f>
        <v/>
      </c>
      <c r="B382" s="21" t="n"/>
      <c r="C382" s="22" t="n"/>
      <c r="D382" s="21" t="n"/>
      <c r="E382" s="22" t="n"/>
      <c r="F382" s="23" t="n"/>
      <c r="G382" s="23" t="n"/>
      <c r="H382" s="23" t="n"/>
      <c r="I382" s="24" t="n"/>
      <c r="J382" s="25" t="n"/>
      <c r="K382" s="25" t="n"/>
      <c r="L382" s="25" t="n"/>
      <c r="M382" s="25" t="n"/>
      <c r="N382" s="26" t="n"/>
      <c r="O382" s="26" t="n"/>
      <c r="P382" s="27" t="str">
        <f>IF(OR(J382="",K382="",I382="",AF382=0,AD382=""),"",(K382-J382)*AF382*I382*AD382*AE382)</f>
        <v/>
      </c>
      <c r="Q382" s="26" t="n"/>
      <c r="R382" s="28" t="str">
        <f>IF(Q382&lt;&gt;"",Q382,IF(P382="","",P382-N(N382)+N(O382)))</f>
        <v/>
      </c>
      <c r="S382" s="27" t="str">
        <f>IF(OR(L382="",J382="",I382="",AD382=""),"",ABS(J382-L382)*I382*AD382*AE382)</f>
        <v/>
      </c>
      <c r="T382" s="29" t="str">
        <f>IF(OR(R382="",S382="",S382=0),"",R382/S382)</f>
        <v/>
      </c>
      <c r="U382" s="20" t="str">
        <f>IF(R382="","",IF(R382&gt;0,"Ganadora",IF(R382&lt;0,"Perdedora","BE")))</f>
        <v/>
      </c>
      <c r="V382" s="23" t="n"/>
      <c r="W382" s="23" t="n"/>
      <c r="X382" s="23" t="n"/>
      <c r="Y382" s="23" t="n"/>
      <c r="Z382" s="23" t="n"/>
      <c r="AA382" s="23" t="n"/>
      <c r="AB382" s="30" t="n"/>
      <c r="AC382" s="1" t="n"/>
      <c r="AD382" s="1" t="str">
        <f>IF(G382="","",IFERROR(INDEX('Listas'!$N$6:$N$35,MATCH(G382,'Listas'!$M$6:$M$35,0)),""))</f>
        <v/>
      </c>
      <c r="AE382">
        <f>IF(G382="",1,IFERROR(INDEX('Listas'!$P$6:$P$35,MATCH(G382,'Listas'!$M$6:$M$35,0)),1))</f>
        <v>1</v>
      </c>
      <c r="AF382">
        <f>IF(H382="Compra",1,IF(H382="Venta",-1,0))</f>
        <v>0</v>
      </c>
      <c r="AG382">
        <f>IF(AND(D382&lt;&gt;"",ISNUMBER(R382)),1,0)</f>
        <v>0</v>
      </c>
      <c r="AH382">
        <f>IF(AG382=0,0,IF(OR('Panel'!$D$5="Todas las cuentas",'Panel'!$D$5="",F382='Panel'!$D$5),1,0))</f>
        <v>0</v>
      </c>
      <c r="AI382">
        <f>IF(AH382=0,0,IF(AND(OR('Panel'!$G$5="",D382&gt;='Panel'!$G$5),OR('Panel'!$J$5="",D382&lt;='Panel'!$J$5)),1,0))</f>
        <v>0</v>
      </c>
      <c r="AJ382">
        <f>IF(AI382=1,R382,0)</f>
        <v>0</v>
      </c>
      <c r="AK382" t="str">
        <f>IF(AI382=1,'Panel'!$AB$4+SUM($AJ$5:AJ382),"")</f>
        <v/>
      </c>
      <c r="AL382">
        <f>IF(AI382=0,N(AL381),IF(R382&lt;0,N(AL381)+1,0))</f>
        <v>1</v>
      </c>
      <c r="AM382">
        <f>IF(AI382=0,N(AM381),IF(R382&gt;0,N(AM381)+1,0))</f>
        <v>0</v>
      </c>
      <c r="AN382">
        <f>IF(AI382=1,MAX('Panel'!$AB$4,N(AN381),AK382),N(AN381))</f>
        <v>21371.061500000033</v>
      </c>
      <c r="AO382">
        <f>IF(AI382=1,AN382-AK382,0)</f>
        <v>0</v>
      </c>
      <c r="AP382">
        <f>IF(AND(AI382=1,AN382&gt;0),AO382/AN382,0)</f>
        <v>0</v>
      </c>
      <c r="AQ382" t="str">
        <f>IF(AI382=1,SUM($AI$5:AI382),"")</f>
        <v/>
      </c>
      <c r="AR382" t="str">
        <f>IF(AI382=1,IF(COUNTIFS($D$5:D382,D382,$AI$5:AI382,1)=1,SUMIFS($AJ$5:$AJ$504,$D$5:$D$504,D382),""),"")</f>
        <v/>
      </c>
      <c r="AS382" t="str">
        <f>IF(AG382=1,WEEKDAY(D382,2),"")</f>
        <v/>
      </c>
      <c r="AT382" s="31" t="str">
        <f>IF(AG382=1,DATE(YEAR(D382),MONTH(D382),1),"")</f>
        <v/>
      </c>
      <c r="AU382">
        <f>IF(AG382=0,0,IF(AND(OR('Prop challenge'!$D$7="",F382='Prop challenge'!$D$7),OR('Prop challenge'!$D$9="",D382&gt;='Prop challenge'!$D$9)),1,0))</f>
        <v>0</v>
      </c>
      <c r="AV382">
        <f>IF(AU382=1,IF(COUNTIFS($D$5:D382,D382,$AU$5:AU382,1)=1,1,0),0)</f>
        <v>0</v>
      </c>
      <c r="AW382" t="str">
        <f>IF(AV382=1,SUM($AV$5:AV382),"")</f>
        <v/>
      </c>
      <c r="AX382" t="str">
        <f>IF(AV382=1,SUMIFS($R$5:$R$504,$D$5:$D$504,D382,$AU$5:$AU$504,1),"")</f>
        <v/>
      </c>
    </row>
    <row r="383">
      <c r="A383" s="20" t="str">
        <f>IF(AG383=1,ROW()-4,"")</f>
        <v/>
      </c>
      <c r="B383" s="21" t="n"/>
      <c r="C383" s="22" t="n"/>
      <c r="D383" s="21" t="n"/>
      <c r="E383" s="22" t="n"/>
      <c r="F383" s="23" t="n"/>
      <c r="G383" s="23" t="n"/>
      <c r="H383" s="23" t="n"/>
      <c r="I383" s="24" t="n"/>
      <c r="J383" s="25" t="n"/>
      <c r="K383" s="25" t="n"/>
      <c r="L383" s="25" t="n"/>
      <c r="M383" s="25" t="n"/>
      <c r="N383" s="26" t="n"/>
      <c r="O383" s="26" t="n"/>
      <c r="P383" s="27" t="str">
        <f>IF(OR(J383="",K383="",I383="",AF383=0,AD383=""),"",(K383-J383)*AF383*I383*AD383*AE383)</f>
        <v/>
      </c>
      <c r="Q383" s="26" t="n"/>
      <c r="R383" s="28" t="str">
        <f>IF(Q383&lt;&gt;"",Q383,IF(P383="","",P383-N(N383)+N(O383)))</f>
        <v/>
      </c>
      <c r="S383" s="27" t="str">
        <f>IF(OR(L383="",J383="",I383="",AD383=""),"",ABS(J383-L383)*I383*AD383*AE383)</f>
        <v/>
      </c>
      <c r="T383" s="29" t="str">
        <f>IF(OR(R383="",S383="",S383=0),"",R383/S383)</f>
        <v/>
      </c>
      <c r="U383" s="20" t="str">
        <f>IF(R383="","",IF(R383&gt;0,"Ganadora",IF(R383&lt;0,"Perdedora","BE")))</f>
        <v/>
      </c>
      <c r="V383" s="23" t="n"/>
      <c r="W383" s="23" t="n"/>
      <c r="X383" s="23" t="n"/>
      <c r="Y383" s="23" t="n"/>
      <c r="Z383" s="23" t="n"/>
      <c r="AA383" s="23" t="n"/>
      <c r="AB383" s="30" t="n"/>
      <c r="AC383" s="1" t="n"/>
      <c r="AD383" s="1" t="str">
        <f>IF(G383="","",IFERROR(INDEX('Listas'!$N$6:$N$35,MATCH(G383,'Listas'!$M$6:$M$35,0)),""))</f>
        <v/>
      </c>
      <c r="AE383">
        <f>IF(G383="",1,IFERROR(INDEX('Listas'!$P$6:$P$35,MATCH(G383,'Listas'!$M$6:$M$35,0)),1))</f>
        <v>1</v>
      </c>
      <c r="AF383">
        <f>IF(H383="Compra",1,IF(H383="Venta",-1,0))</f>
        <v>0</v>
      </c>
      <c r="AG383">
        <f>IF(AND(D383&lt;&gt;"",ISNUMBER(R383)),1,0)</f>
        <v>0</v>
      </c>
      <c r="AH383">
        <f>IF(AG383=0,0,IF(OR('Panel'!$D$5="Todas las cuentas",'Panel'!$D$5="",F383='Panel'!$D$5),1,0))</f>
        <v>0</v>
      </c>
      <c r="AI383">
        <f>IF(AH383=0,0,IF(AND(OR('Panel'!$G$5="",D383&gt;='Panel'!$G$5),OR('Panel'!$J$5="",D383&lt;='Panel'!$J$5)),1,0))</f>
        <v>0</v>
      </c>
      <c r="AJ383">
        <f>IF(AI383=1,R383,0)</f>
        <v>0</v>
      </c>
      <c r="AK383" t="str">
        <f>IF(AI383=1,'Panel'!$AB$4+SUM($AJ$5:AJ383),"")</f>
        <v/>
      </c>
      <c r="AL383">
        <f>IF(AI383=0,N(AL382),IF(R383&lt;0,N(AL382)+1,0))</f>
        <v>1</v>
      </c>
      <c r="AM383">
        <f>IF(AI383=0,N(AM382),IF(R383&gt;0,N(AM382)+1,0))</f>
        <v>0</v>
      </c>
      <c r="AN383">
        <f>IF(AI383=1,MAX('Panel'!$AB$4,N(AN382),AK383),N(AN382))</f>
        <v>21371.061500000033</v>
      </c>
      <c r="AO383">
        <f>IF(AI383=1,AN383-AK383,0)</f>
        <v>0</v>
      </c>
      <c r="AP383">
        <f>IF(AND(AI383=1,AN383&gt;0),AO383/AN383,0)</f>
        <v>0</v>
      </c>
      <c r="AQ383" t="str">
        <f>IF(AI383=1,SUM($AI$5:AI383),"")</f>
        <v/>
      </c>
      <c r="AR383" t="str">
        <f>IF(AI383=1,IF(COUNTIFS($D$5:D383,D383,$AI$5:AI383,1)=1,SUMIFS($AJ$5:$AJ$504,$D$5:$D$504,D383),""),"")</f>
        <v/>
      </c>
      <c r="AS383" t="str">
        <f>IF(AG383=1,WEEKDAY(D383,2),"")</f>
        <v/>
      </c>
      <c r="AT383" s="31" t="str">
        <f>IF(AG383=1,DATE(YEAR(D383),MONTH(D383),1),"")</f>
        <v/>
      </c>
      <c r="AU383">
        <f>IF(AG383=0,0,IF(AND(OR('Prop challenge'!$D$7="",F383='Prop challenge'!$D$7),OR('Prop challenge'!$D$9="",D383&gt;='Prop challenge'!$D$9)),1,0))</f>
        <v>0</v>
      </c>
      <c r="AV383">
        <f>IF(AU383=1,IF(COUNTIFS($D$5:D383,D383,$AU$5:AU383,1)=1,1,0),0)</f>
        <v>0</v>
      </c>
      <c r="AW383" t="str">
        <f>IF(AV383=1,SUM($AV$5:AV383),"")</f>
        <v/>
      </c>
      <c r="AX383" t="str">
        <f>IF(AV383=1,SUMIFS($R$5:$R$504,$D$5:$D$504,D383,$AU$5:$AU$504,1),"")</f>
        <v/>
      </c>
    </row>
    <row r="384">
      <c r="A384" s="20" t="str">
        <f>IF(AG384=1,ROW()-4,"")</f>
        <v/>
      </c>
      <c r="B384" s="21" t="n"/>
      <c r="C384" s="22" t="n"/>
      <c r="D384" s="21" t="n"/>
      <c r="E384" s="22" t="n"/>
      <c r="F384" s="23" t="n"/>
      <c r="G384" s="23" t="n"/>
      <c r="H384" s="23" t="n"/>
      <c r="I384" s="24" t="n"/>
      <c r="J384" s="25" t="n"/>
      <c r="K384" s="25" t="n"/>
      <c r="L384" s="25" t="n"/>
      <c r="M384" s="25" t="n"/>
      <c r="N384" s="26" t="n"/>
      <c r="O384" s="26" t="n"/>
      <c r="P384" s="27" t="str">
        <f>IF(OR(J384="",K384="",I384="",AF384=0,AD384=""),"",(K384-J384)*AF384*I384*AD384*AE384)</f>
        <v/>
      </c>
      <c r="Q384" s="26" t="n"/>
      <c r="R384" s="28" t="str">
        <f>IF(Q384&lt;&gt;"",Q384,IF(P384="","",P384-N(N384)+N(O384)))</f>
        <v/>
      </c>
      <c r="S384" s="27" t="str">
        <f>IF(OR(L384="",J384="",I384="",AD384=""),"",ABS(J384-L384)*I384*AD384*AE384)</f>
        <v/>
      </c>
      <c r="T384" s="29" t="str">
        <f>IF(OR(R384="",S384="",S384=0),"",R384/S384)</f>
        <v/>
      </c>
      <c r="U384" s="20" t="str">
        <f>IF(R384="","",IF(R384&gt;0,"Ganadora",IF(R384&lt;0,"Perdedora","BE")))</f>
        <v/>
      </c>
      <c r="V384" s="23" t="n"/>
      <c r="W384" s="23" t="n"/>
      <c r="X384" s="23" t="n"/>
      <c r="Y384" s="23" t="n"/>
      <c r="Z384" s="23" t="n"/>
      <c r="AA384" s="23" t="n"/>
      <c r="AB384" s="30" t="n"/>
      <c r="AC384" s="1" t="n"/>
      <c r="AD384" s="1" t="str">
        <f>IF(G384="","",IFERROR(INDEX('Listas'!$N$6:$N$35,MATCH(G384,'Listas'!$M$6:$M$35,0)),""))</f>
        <v/>
      </c>
      <c r="AE384">
        <f>IF(G384="",1,IFERROR(INDEX('Listas'!$P$6:$P$35,MATCH(G384,'Listas'!$M$6:$M$35,0)),1))</f>
        <v>1</v>
      </c>
      <c r="AF384">
        <f>IF(H384="Compra",1,IF(H384="Venta",-1,0))</f>
        <v>0</v>
      </c>
      <c r="AG384">
        <f>IF(AND(D384&lt;&gt;"",ISNUMBER(R384)),1,0)</f>
        <v>0</v>
      </c>
      <c r="AH384">
        <f>IF(AG384=0,0,IF(OR('Panel'!$D$5="Todas las cuentas",'Panel'!$D$5="",F384='Panel'!$D$5),1,0))</f>
        <v>0</v>
      </c>
      <c r="AI384">
        <f>IF(AH384=0,0,IF(AND(OR('Panel'!$G$5="",D384&gt;='Panel'!$G$5),OR('Panel'!$J$5="",D384&lt;='Panel'!$J$5)),1,0))</f>
        <v>0</v>
      </c>
      <c r="AJ384">
        <f>IF(AI384=1,R384,0)</f>
        <v>0</v>
      </c>
      <c r="AK384" t="str">
        <f>IF(AI384=1,'Panel'!$AB$4+SUM($AJ$5:AJ384),"")</f>
        <v/>
      </c>
      <c r="AL384">
        <f>IF(AI384=0,N(AL383),IF(R384&lt;0,N(AL383)+1,0))</f>
        <v>1</v>
      </c>
      <c r="AM384">
        <f>IF(AI384=0,N(AM383),IF(R384&gt;0,N(AM383)+1,0))</f>
        <v>0</v>
      </c>
      <c r="AN384">
        <f>IF(AI384=1,MAX('Panel'!$AB$4,N(AN383),AK384),N(AN383))</f>
        <v>21371.061500000033</v>
      </c>
      <c r="AO384">
        <f>IF(AI384=1,AN384-AK384,0)</f>
        <v>0</v>
      </c>
      <c r="AP384">
        <f>IF(AND(AI384=1,AN384&gt;0),AO384/AN384,0)</f>
        <v>0</v>
      </c>
      <c r="AQ384" t="str">
        <f>IF(AI384=1,SUM($AI$5:AI384),"")</f>
        <v/>
      </c>
      <c r="AR384" t="str">
        <f>IF(AI384=1,IF(COUNTIFS($D$5:D384,D384,$AI$5:AI384,1)=1,SUMIFS($AJ$5:$AJ$504,$D$5:$D$504,D384),""),"")</f>
        <v/>
      </c>
      <c r="AS384" t="str">
        <f>IF(AG384=1,WEEKDAY(D384,2),"")</f>
        <v/>
      </c>
      <c r="AT384" s="31" t="str">
        <f>IF(AG384=1,DATE(YEAR(D384),MONTH(D384),1),"")</f>
        <v/>
      </c>
      <c r="AU384">
        <f>IF(AG384=0,0,IF(AND(OR('Prop challenge'!$D$7="",F384='Prop challenge'!$D$7),OR('Prop challenge'!$D$9="",D384&gt;='Prop challenge'!$D$9)),1,0))</f>
        <v>0</v>
      </c>
      <c r="AV384">
        <f>IF(AU384=1,IF(COUNTIFS($D$5:D384,D384,$AU$5:AU384,1)=1,1,0),0)</f>
        <v>0</v>
      </c>
      <c r="AW384" t="str">
        <f>IF(AV384=1,SUM($AV$5:AV384),"")</f>
        <v/>
      </c>
      <c r="AX384" t="str">
        <f>IF(AV384=1,SUMIFS($R$5:$R$504,$D$5:$D$504,D384,$AU$5:$AU$504,1),"")</f>
        <v/>
      </c>
    </row>
    <row r="385">
      <c r="A385" s="20" t="str">
        <f>IF(AG385=1,ROW()-4,"")</f>
        <v/>
      </c>
      <c r="B385" s="21" t="n"/>
      <c r="C385" s="22" t="n"/>
      <c r="D385" s="21" t="n"/>
      <c r="E385" s="22" t="n"/>
      <c r="F385" s="23" t="n"/>
      <c r="G385" s="23" t="n"/>
      <c r="H385" s="23" t="n"/>
      <c r="I385" s="24" t="n"/>
      <c r="J385" s="25" t="n"/>
      <c r="K385" s="25" t="n"/>
      <c r="L385" s="25" t="n"/>
      <c r="M385" s="25" t="n"/>
      <c r="N385" s="26" t="n"/>
      <c r="O385" s="26" t="n"/>
      <c r="P385" s="27" t="str">
        <f>IF(OR(J385="",K385="",I385="",AF385=0,AD385=""),"",(K385-J385)*AF385*I385*AD385*AE385)</f>
        <v/>
      </c>
      <c r="Q385" s="26" t="n"/>
      <c r="R385" s="28" t="str">
        <f>IF(Q385&lt;&gt;"",Q385,IF(P385="","",P385-N(N385)+N(O385)))</f>
        <v/>
      </c>
      <c r="S385" s="27" t="str">
        <f>IF(OR(L385="",J385="",I385="",AD385=""),"",ABS(J385-L385)*I385*AD385*AE385)</f>
        <v/>
      </c>
      <c r="T385" s="29" t="str">
        <f>IF(OR(R385="",S385="",S385=0),"",R385/S385)</f>
        <v/>
      </c>
      <c r="U385" s="20" t="str">
        <f>IF(R385="","",IF(R385&gt;0,"Ganadora",IF(R385&lt;0,"Perdedora","BE")))</f>
        <v/>
      </c>
      <c r="V385" s="23" t="n"/>
      <c r="W385" s="23" t="n"/>
      <c r="X385" s="23" t="n"/>
      <c r="Y385" s="23" t="n"/>
      <c r="Z385" s="23" t="n"/>
      <c r="AA385" s="23" t="n"/>
      <c r="AB385" s="30" t="n"/>
      <c r="AC385" s="1" t="n"/>
      <c r="AD385" s="1" t="str">
        <f>IF(G385="","",IFERROR(INDEX('Listas'!$N$6:$N$35,MATCH(G385,'Listas'!$M$6:$M$35,0)),""))</f>
        <v/>
      </c>
      <c r="AE385">
        <f>IF(G385="",1,IFERROR(INDEX('Listas'!$P$6:$P$35,MATCH(G385,'Listas'!$M$6:$M$35,0)),1))</f>
        <v>1</v>
      </c>
      <c r="AF385">
        <f>IF(H385="Compra",1,IF(H385="Venta",-1,0))</f>
        <v>0</v>
      </c>
      <c r="AG385">
        <f>IF(AND(D385&lt;&gt;"",ISNUMBER(R385)),1,0)</f>
        <v>0</v>
      </c>
      <c r="AH385">
        <f>IF(AG385=0,0,IF(OR('Panel'!$D$5="Todas las cuentas",'Panel'!$D$5="",F385='Panel'!$D$5),1,0))</f>
        <v>0</v>
      </c>
      <c r="AI385">
        <f>IF(AH385=0,0,IF(AND(OR('Panel'!$G$5="",D385&gt;='Panel'!$G$5),OR('Panel'!$J$5="",D385&lt;='Panel'!$J$5)),1,0))</f>
        <v>0</v>
      </c>
      <c r="AJ385">
        <f>IF(AI385=1,R385,0)</f>
        <v>0</v>
      </c>
      <c r="AK385" t="str">
        <f>IF(AI385=1,'Panel'!$AB$4+SUM($AJ$5:AJ385),"")</f>
        <v/>
      </c>
      <c r="AL385">
        <f>IF(AI385=0,N(AL384),IF(R385&lt;0,N(AL384)+1,0))</f>
        <v>1</v>
      </c>
      <c r="AM385">
        <f>IF(AI385=0,N(AM384),IF(R385&gt;0,N(AM384)+1,0))</f>
        <v>0</v>
      </c>
      <c r="AN385">
        <f>IF(AI385=1,MAX('Panel'!$AB$4,N(AN384),AK385),N(AN384))</f>
        <v>21371.061500000033</v>
      </c>
      <c r="AO385">
        <f>IF(AI385=1,AN385-AK385,0)</f>
        <v>0</v>
      </c>
      <c r="AP385">
        <f>IF(AND(AI385=1,AN385&gt;0),AO385/AN385,0)</f>
        <v>0</v>
      </c>
      <c r="AQ385" t="str">
        <f>IF(AI385=1,SUM($AI$5:AI385),"")</f>
        <v/>
      </c>
      <c r="AR385" t="str">
        <f>IF(AI385=1,IF(COUNTIFS($D$5:D385,D385,$AI$5:AI385,1)=1,SUMIFS($AJ$5:$AJ$504,$D$5:$D$504,D385),""),"")</f>
        <v/>
      </c>
      <c r="AS385" t="str">
        <f>IF(AG385=1,WEEKDAY(D385,2),"")</f>
        <v/>
      </c>
      <c r="AT385" s="31" t="str">
        <f>IF(AG385=1,DATE(YEAR(D385),MONTH(D385),1),"")</f>
        <v/>
      </c>
      <c r="AU385">
        <f>IF(AG385=0,0,IF(AND(OR('Prop challenge'!$D$7="",F385='Prop challenge'!$D$7),OR('Prop challenge'!$D$9="",D385&gt;='Prop challenge'!$D$9)),1,0))</f>
        <v>0</v>
      </c>
      <c r="AV385">
        <f>IF(AU385=1,IF(COUNTIFS($D$5:D385,D385,$AU$5:AU385,1)=1,1,0),0)</f>
        <v>0</v>
      </c>
      <c r="AW385" t="str">
        <f>IF(AV385=1,SUM($AV$5:AV385),"")</f>
        <v/>
      </c>
      <c r="AX385" t="str">
        <f>IF(AV385=1,SUMIFS($R$5:$R$504,$D$5:$D$504,D385,$AU$5:$AU$504,1),"")</f>
        <v/>
      </c>
    </row>
    <row r="386">
      <c r="A386" s="20" t="str">
        <f>IF(AG386=1,ROW()-4,"")</f>
        <v/>
      </c>
      <c r="B386" s="21" t="n"/>
      <c r="C386" s="22" t="n"/>
      <c r="D386" s="21" t="n"/>
      <c r="E386" s="22" t="n"/>
      <c r="F386" s="23" t="n"/>
      <c r="G386" s="23" t="n"/>
      <c r="H386" s="23" t="n"/>
      <c r="I386" s="24" t="n"/>
      <c r="J386" s="25" t="n"/>
      <c r="K386" s="25" t="n"/>
      <c r="L386" s="25" t="n"/>
      <c r="M386" s="25" t="n"/>
      <c r="N386" s="26" t="n"/>
      <c r="O386" s="26" t="n"/>
      <c r="P386" s="27" t="str">
        <f>IF(OR(J386="",K386="",I386="",AF386=0,AD386=""),"",(K386-J386)*AF386*I386*AD386*AE386)</f>
        <v/>
      </c>
      <c r="Q386" s="26" t="n"/>
      <c r="R386" s="28" t="str">
        <f>IF(Q386&lt;&gt;"",Q386,IF(P386="","",P386-N(N386)+N(O386)))</f>
        <v/>
      </c>
      <c r="S386" s="27" t="str">
        <f>IF(OR(L386="",J386="",I386="",AD386=""),"",ABS(J386-L386)*I386*AD386*AE386)</f>
        <v/>
      </c>
      <c r="T386" s="29" t="str">
        <f>IF(OR(R386="",S386="",S386=0),"",R386/S386)</f>
        <v/>
      </c>
      <c r="U386" s="20" t="str">
        <f>IF(R386="","",IF(R386&gt;0,"Ganadora",IF(R386&lt;0,"Perdedora","BE")))</f>
        <v/>
      </c>
      <c r="V386" s="23" t="n"/>
      <c r="W386" s="23" t="n"/>
      <c r="X386" s="23" t="n"/>
      <c r="Y386" s="23" t="n"/>
      <c r="Z386" s="23" t="n"/>
      <c r="AA386" s="23" t="n"/>
      <c r="AB386" s="30" t="n"/>
      <c r="AC386" s="1" t="n"/>
      <c r="AD386" s="1" t="str">
        <f>IF(G386="","",IFERROR(INDEX('Listas'!$N$6:$N$35,MATCH(G386,'Listas'!$M$6:$M$35,0)),""))</f>
        <v/>
      </c>
      <c r="AE386">
        <f>IF(G386="",1,IFERROR(INDEX('Listas'!$P$6:$P$35,MATCH(G386,'Listas'!$M$6:$M$35,0)),1))</f>
        <v>1</v>
      </c>
      <c r="AF386">
        <f>IF(H386="Compra",1,IF(H386="Venta",-1,0))</f>
        <v>0</v>
      </c>
      <c r="AG386">
        <f>IF(AND(D386&lt;&gt;"",ISNUMBER(R386)),1,0)</f>
        <v>0</v>
      </c>
      <c r="AH386">
        <f>IF(AG386=0,0,IF(OR('Panel'!$D$5="Todas las cuentas",'Panel'!$D$5="",F386='Panel'!$D$5),1,0))</f>
        <v>0</v>
      </c>
      <c r="AI386">
        <f>IF(AH386=0,0,IF(AND(OR('Panel'!$G$5="",D386&gt;='Panel'!$G$5),OR('Panel'!$J$5="",D386&lt;='Panel'!$J$5)),1,0))</f>
        <v>0</v>
      </c>
      <c r="AJ386">
        <f>IF(AI386=1,R386,0)</f>
        <v>0</v>
      </c>
      <c r="AK386" t="str">
        <f>IF(AI386=1,'Panel'!$AB$4+SUM($AJ$5:AJ386),"")</f>
        <v/>
      </c>
      <c r="AL386">
        <f>IF(AI386=0,N(AL385),IF(R386&lt;0,N(AL385)+1,0))</f>
        <v>1</v>
      </c>
      <c r="AM386">
        <f>IF(AI386=0,N(AM385),IF(R386&gt;0,N(AM385)+1,0))</f>
        <v>0</v>
      </c>
      <c r="AN386">
        <f>IF(AI386=1,MAX('Panel'!$AB$4,N(AN385),AK386),N(AN385))</f>
        <v>21371.061500000033</v>
      </c>
      <c r="AO386">
        <f>IF(AI386=1,AN386-AK386,0)</f>
        <v>0</v>
      </c>
      <c r="AP386">
        <f>IF(AND(AI386=1,AN386&gt;0),AO386/AN386,0)</f>
        <v>0</v>
      </c>
      <c r="AQ386" t="str">
        <f>IF(AI386=1,SUM($AI$5:AI386),"")</f>
        <v/>
      </c>
      <c r="AR386" t="str">
        <f>IF(AI386=1,IF(COUNTIFS($D$5:D386,D386,$AI$5:AI386,1)=1,SUMIFS($AJ$5:$AJ$504,$D$5:$D$504,D386),""),"")</f>
        <v/>
      </c>
      <c r="AS386" t="str">
        <f>IF(AG386=1,WEEKDAY(D386,2),"")</f>
        <v/>
      </c>
      <c r="AT386" s="31" t="str">
        <f>IF(AG386=1,DATE(YEAR(D386),MONTH(D386),1),"")</f>
        <v/>
      </c>
      <c r="AU386">
        <f>IF(AG386=0,0,IF(AND(OR('Prop challenge'!$D$7="",F386='Prop challenge'!$D$7),OR('Prop challenge'!$D$9="",D386&gt;='Prop challenge'!$D$9)),1,0))</f>
        <v>0</v>
      </c>
      <c r="AV386">
        <f>IF(AU386=1,IF(COUNTIFS($D$5:D386,D386,$AU$5:AU386,1)=1,1,0),0)</f>
        <v>0</v>
      </c>
      <c r="AW386" t="str">
        <f>IF(AV386=1,SUM($AV$5:AV386),"")</f>
        <v/>
      </c>
      <c r="AX386" t="str">
        <f>IF(AV386=1,SUMIFS($R$5:$R$504,$D$5:$D$504,D386,$AU$5:$AU$504,1),"")</f>
        <v/>
      </c>
    </row>
    <row r="387">
      <c r="A387" s="20" t="str">
        <f>IF(AG387=1,ROW()-4,"")</f>
        <v/>
      </c>
      <c r="B387" s="21" t="n"/>
      <c r="C387" s="22" t="n"/>
      <c r="D387" s="21" t="n"/>
      <c r="E387" s="22" t="n"/>
      <c r="F387" s="23" t="n"/>
      <c r="G387" s="23" t="n"/>
      <c r="H387" s="23" t="n"/>
      <c r="I387" s="24" t="n"/>
      <c r="J387" s="25" t="n"/>
      <c r="K387" s="25" t="n"/>
      <c r="L387" s="25" t="n"/>
      <c r="M387" s="25" t="n"/>
      <c r="N387" s="26" t="n"/>
      <c r="O387" s="26" t="n"/>
      <c r="P387" s="27" t="str">
        <f>IF(OR(J387="",K387="",I387="",AF387=0,AD387=""),"",(K387-J387)*AF387*I387*AD387*AE387)</f>
        <v/>
      </c>
      <c r="Q387" s="26" t="n"/>
      <c r="R387" s="28" t="str">
        <f>IF(Q387&lt;&gt;"",Q387,IF(P387="","",P387-N(N387)+N(O387)))</f>
        <v/>
      </c>
      <c r="S387" s="27" t="str">
        <f>IF(OR(L387="",J387="",I387="",AD387=""),"",ABS(J387-L387)*I387*AD387*AE387)</f>
        <v/>
      </c>
      <c r="T387" s="29" t="str">
        <f>IF(OR(R387="",S387="",S387=0),"",R387/S387)</f>
        <v/>
      </c>
      <c r="U387" s="20" t="str">
        <f>IF(R387="","",IF(R387&gt;0,"Ganadora",IF(R387&lt;0,"Perdedora","BE")))</f>
        <v/>
      </c>
      <c r="V387" s="23" t="n"/>
      <c r="W387" s="23" t="n"/>
      <c r="X387" s="23" t="n"/>
      <c r="Y387" s="23" t="n"/>
      <c r="Z387" s="23" t="n"/>
      <c r="AA387" s="23" t="n"/>
      <c r="AB387" s="30" t="n"/>
      <c r="AC387" s="1" t="n"/>
      <c r="AD387" s="1" t="str">
        <f>IF(G387="","",IFERROR(INDEX('Listas'!$N$6:$N$35,MATCH(G387,'Listas'!$M$6:$M$35,0)),""))</f>
        <v/>
      </c>
      <c r="AE387">
        <f>IF(G387="",1,IFERROR(INDEX('Listas'!$P$6:$P$35,MATCH(G387,'Listas'!$M$6:$M$35,0)),1))</f>
        <v>1</v>
      </c>
      <c r="AF387">
        <f>IF(H387="Compra",1,IF(H387="Venta",-1,0))</f>
        <v>0</v>
      </c>
      <c r="AG387">
        <f>IF(AND(D387&lt;&gt;"",ISNUMBER(R387)),1,0)</f>
        <v>0</v>
      </c>
      <c r="AH387">
        <f>IF(AG387=0,0,IF(OR('Panel'!$D$5="Todas las cuentas",'Panel'!$D$5="",F387='Panel'!$D$5),1,0))</f>
        <v>0</v>
      </c>
      <c r="AI387">
        <f>IF(AH387=0,0,IF(AND(OR('Panel'!$G$5="",D387&gt;='Panel'!$G$5),OR('Panel'!$J$5="",D387&lt;='Panel'!$J$5)),1,0))</f>
        <v>0</v>
      </c>
      <c r="AJ387">
        <f>IF(AI387=1,R387,0)</f>
        <v>0</v>
      </c>
      <c r="AK387" t="str">
        <f>IF(AI387=1,'Panel'!$AB$4+SUM($AJ$5:AJ387),"")</f>
        <v/>
      </c>
      <c r="AL387">
        <f>IF(AI387=0,N(AL386),IF(R387&lt;0,N(AL386)+1,0))</f>
        <v>1</v>
      </c>
      <c r="AM387">
        <f>IF(AI387=0,N(AM386),IF(R387&gt;0,N(AM386)+1,0))</f>
        <v>0</v>
      </c>
      <c r="AN387">
        <f>IF(AI387=1,MAX('Panel'!$AB$4,N(AN386),AK387),N(AN386))</f>
        <v>21371.061500000033</v>
      </c>
      <c r="AO387">
        <f>IF(AI387=1,AN387-AK387,0)</f>
        <v>0</v>
      </c>
      <c r="AP387">
        <f>IF(AND(AI387=1,AN387&gt;0),AO387/AN387,0)</f>
        <v>0</v>
      </c>
      <c r="AQ387" t="str">
        <f>IF(AI387=1,SUM($AI$5:AI387),"")</f>
        <v/>
      </c>
      <c r="AR387" t="str">
        <f>IF(AI387=1,IF(COUNTIFS($D$5:D387,D387,$AI$5:AI387,1)=1,SUMIFS($AJ$5:$AJ$504,$D$5:$D$504,D387),""),"")</f>
        <v/>
      </c>
      <c r="AS387" t="str">
        <f>IF(AG387=1,WEEKDAY(D387,2),"")</f>
        <v/>
      </c>
      <c r="AT387" s="31" t="str">
        <f>IF(AG387=1,DATE(YEAR(D387),MONTH(D387),1),"")</f>
        <v/>
      </c>
      <c r="AU387">
        <f>IF(AG387=0,0,IF(AND(OR('Prop challenge'!$D$7="",F387='Prop challenge'!$D$7),OR('Prop challenge'!$D$9="",D387&gt;='Prop challenge'!$D$9)),1,0))</f>
        <v>0</v>
      </c>
      <c r="AV387">
        <f>IF(AU387=1,IF(COUNTIFS($D$5:D387,D387,$AU$5:AU387,1)=1,1,0),0)</f>
        <v>0</v>
      </c>
      <c r="AW387" t="str">
        <f>IF(AV387=1,SUM($AV$5:AV387),"")</f>
        <v/>
      </c>
      <c r="AX387" t="str">
        <f>IF(AV387=1,SUMIFS($R$5:$R$504,$D$5:$D$504,D387,$AU$5:$AU$504,1),"")</f>
        <v/>
      </c>
    </row>
    <row r="388">
      <c r="A388" s="20" t="str">
        <f>IF(AG388=1,ROW()-4,"")</f>
        <v/>
      </c>
      <c r="B388" s="21" t="n"/>
      <c r="C388" s="22" t="n"/>
      <c r="D388" s="21" t="n"/>
      <c r="E388" s="22" t="n"/>
      <c r="F388" s="23" t="n"/>
      <c r="G388" s="23" t="n"/>
      <c r="H388" s="23" t="n"/>
      <c r="I388" s="24" t="n"/>
      <c r="J388" s="25" t="n"/>
      <c r="K388" s="25" t="n"/>
      <c r="L388" s="25" t="n"/>
      <c r="M388" s="25" t="n"/>
      <c r="N388" s="26" t="n"/>
      <c r="O388" s="26" t="n"/>
      <c r="P388" s="27" t="str">
        <f>IF(OR(J388="",K388="",I388="",AF388=0,AD388=""),"",(K388-J388)*AF388*I388*AD388*AE388)</f>
        <v/>
      </c>
      <c r="Q388" s="26" t="n"/>
      <c r="R388" s="28" t="str">
        <f>IF(Q388&lt;&gt;"",Q388,IF(P388="","",P388-N(N388)+N(O388)))</f>
        <v/>
      </c>
      <c r="S388" s="27" t="str">
        <f>IF(OR(L388="",J388="",I388="",AD388=""),"",ABS(J388-L388)*I388*AD388*AE388)</f>
        <v/>
      </c>
      <c r="T388" s="29" t="str">
        <f>IF(OR(R388="",S388="",S388=0),"",R388/S388)</f>
        <v/>
      </c>
      <c r="U388" s="20" t="str">
        <f>IF(R388="","",IF(R388&gt;0,"Ganadora",IF(R388&lt;0,"Perdedora","BE")))</f>
        <v/>
      </c>
      <c r="V388" s="23" t="n"/>
      <c r="W388" s="23" t="n"/>
      <c r="X388" s="23" t="n"/>
      <c r="Y388" s="23" t="n"/>
      <c r="Z388" s="23" t="n"/>
      <c r="AA388" s="23" t="n"/>
      <c r="AB388" s="30" t="n"/>
      <c r="AC388" s="1" t="n"/>
      <c r="AD388" s="1" t="str">
        <f>IF(G388="","",IFERROR(INDEX('Listas'!$N$6:$N$35,MATCH(G388,'Listas'!$M$6:$M$35,0)),""))</f>
        <v/>
      </c>
      <c r="AE388">
        <f>IF(G388="",1,IFERROR(INDEX('Listas'!$P$6:$P$35,MATCH(G388,'Listas'!$M$6:$M$35,0)),1))</f>
        <v>1</v>
      </c>
      <c r="AF388">
        <f>IF(H388="Compra",1,IF(H388="Venta",-1,0))</f>
        <v>0</v>
      </c>
      <c r="AG388">
        <f>IF(AND(D388&lt;&gt;"",ISNUMBER(R388)),1,0)</f>
        <v>0</v>
      </c>
      <c r="AH388">
        <f>IF(AG388=0,0,IF(OR('Panel'!$D$5="Todas las cuentas",'Panel'!$D$5="",F388='Panel'!$D$5),1,0))</f>
        <v>0</v>
      </c>
      <c r="AI388">
        <f>IF(AH388=0,0,IF(AND(OR('Panel'!$G$5="",D388&gt;='Panel'!$G$5),OR('Panel'!$J$5="",D388&lt;='Panel'!$J$5)),1,0))</f>
        <v>0</v>
      </c>
      <c r="AJ388">
        <f>IF(AI388=1,R388,0)</f>
        <v>0</v>
      </c>
      <c r="AK388" t="str">
        <f>IF(AI388=1,'Panel'!$AB$4+SUM($AJ$5:AJ388),"")</f>
        <v/>
      </c>
      <c r="AL388">
        <f>IF(AI388=0,N(AL387),IF(R388&lt;0,N(AL387)+1,0))</f>
        <v>1</v>
      </c>
      <c r="AM388">
        <f>IF(AI388=0,N(AM387),IF(R388&gt;0,N(AM387)+1,0))</f>
        <v>0</v>
      </c>
      <c r="AN388">
        <f>IF(AI388=1,MAX('Panel'!$AB$4,N(AN387),AK388),N(AN387))</f>
        <v>21371.061500000033</v>
      </c>
      <c r="AO388">
        <f>IF(AI388=1,AN388-AK388,0)</f>
        <v>0</v>
      </c>
      <c r="AP388">
        <f>IF(AND(AI388=1,AN388&gt;0),AO388/AN388,0)</f>
        <v>0</v>
      </c>
      <c r="AQ388" t="str">
        <f>IF(AI388=1,SUM($AI$5:AI388),"")</f>
        <v/>
      </c>
      <c r="AR388" t="str">
        <f>IF(AI388=1,IF(COUNTIFS($D$5:D388,D388,$AI$5:AI388,1)=1,SUMIFS($AJ$5:$AJ$504,$D$5:$D$504,D388),""),"")</f>
        <v/>
      </c>
      <c r="AS388" t="str">
        <f>IF(AG388=1,WEEKDAY(D388,2),"")</f>
        <v/>
      </c>
      <c r="AT388" s="31" t="str">
        <f>IF(AG388=1,DATE(YEAR(D388),MONTH(D388),1),"")</f>
        <v/>
      </c>
      <c r="AU388">
        <f>IF(AG388=0,0,IF(AND(OR('Prop challenge'!$D$7="",F388='Prop challenge'!$D$7),OR('Prop challenge'!$D$9="",D388&gt;='Prop challenge'!$D$9)),1,0))</f>
        <v>0</v>
      </c>
      <c r="AV388">
        <f>IF(AU388=1,IF(COUNTIFS($D$5:D388,D388,$AU$5:AU388,1)=1,1,0),0)</f>
        <v>0</v>
      </c>
      <c r="AW388" t="str">
        <f>IF(AV388=1,SUM($AV$5:AV388),"")</f>
        <v/>
      </c>
      <c r="AX388" t="str">
        <f>IF(AV388=1,SUMIFS($R$5:$R$504,$D$5:$D$504,D388,$AU$5:$AU$504,1),"")</f>
        <v/>
      </c>
    </row>
    <row r="389">
      <c r="A389" s="20" t="str">
        <f>IF(AG389=1,ROW()-4,"")</f>
        <v/>
      </c>
      <c r="B389" s="21" t="n"/>
      <c r="C389" s="22" t="n"/>
      <c r="D389" s="21" t="n"/>
      <c r="E389" s="22" t="n"/>
      <c r="F389" s="23" t="n"/>
      <c r="G389" s="23" t="n"/>
      <c r="H389" s="23" t="n"/>
      <c r="I389" s="24" t="n"/>
      <c r="J389" s="25" t="n"/>
      <c r="K389" s="25" t="n"/>
      <c r="L389" s="25" t="n"/>
      <c r="M389" s="25" t="n"/>
      <c r="N389" s="26" t="n"/>
      <c r="O389" s="26" t="n"/>
      <c r="P389" s="27" t="str">
        <f>IF(OR(J389="",K389="",I389="",AF389=0,AD389=""),"",(K389-J389)*AF389*I389*AD389*AE389)</f>
        <v/>
      </c>
      <c r="Q389" s="26" t="n"/>
      <c r="R389" s="28" t="str">
        <f>IF(Q389&lt;&gt;"",Q389,IF(P389="","",P389-N(N389)+N(O389)))</f>
        <v/>
      </c>
      <c r="S389" s="27" t="str">
        <f>IF(OR(L389="",J389="",I389="",AD389=""),"",ABS(J389-L389)*I389*AD389*AE389)</f>
        <v/>
      </c>
      <c r="T389" s="29" t="str">
        <f>IF(OR(R389="",S389="",S389=0),"",R389/S389)</f>
        <v/>
      </c>
      <c r="U389" s="20" t="str">
        <f>IF(R389="","",IF(R389&gt;0,"Ganadora",IF(R389&lt;0,"Perdedora","BE")))</f>
        <v/>
      </c>
      <c r="V389" s="23" t="n"/>
      <c r="W389" s="23" t="n"/>
      <c r="X389" s="23" t="n"/>
      <c r="Y389" s="23" t="n"/>
      <c r="Z389" s="23" t="n"/>
      <c r="AA389" s="23" t="n"/>
      <c r="AB389" s="30" t="n"/>
      <c r="AC389" s="1" t="n"/>
      <c r="AD389" s="1" t="str">
        <f>IF(G389="","",IFERROR(INDEX('Listas'!$N$6:$N$35,MATCH(G389,'Listas'!$M$6:$M$35,0)),""))</f>
        <v/>
      </c>
      <c r="AE389">
        <f>IF(G389="",1,IFERROR(INDEX('Listas'!$P$6:$P$35,MATCH(G389,'Listas'!$M$6:$M$35,0)),1))</f>
        <v>1</v>
      </c>
      <c r="AF389">
        <f>IF(H389="Compra",1,IF(H389="Venta",-1,0))</f>
        <v>0</v>
      </c>
      <c r="AG389">
        <f>IF(AND(D389&lt;&gt;"",ISNUMBER(R389)),1,0)</f>
        <v>0</v>
      </c>
      <c r="AH389">
        <f>IF(AG389=0,0,IF(OR('Panel'!$D$5="Todas las cuentas",'Panel'!$D$5="",F389='Panel'!$D$5),1,0))</f>
        <v>0</v>
      </c>
      <c r="AI389">
        <f>IF(AH389=0,0,IF(AND(OR('Panel'!$G$5="",D389&gt;='Panel'!$G$5),OR('Panel'!$J$5="",D389&lt;='Panel'!$J$5)),1,0))</f>
        <v>0</v>
      </c>
      <c r="AJ389">
        <f>IF(AI389=1,R389,0)</f>
        <v>0</v>
      </c>
      <c r="AK389" t="str">
        <f>IF(AI389=1,'Panel'!$AB$4+SUM($AJ$5:AJ389),"")</f>
        <v/>
      </c>
      <c r="AL389">
        <f>IF(AI389=0,N(AL388),IF(R389&lt;0,N(AL388)+1,0))</f>
        <v>1</v>
      </c>
      <c r="AM389">
        <f>IF(AI389=0,N(AM388),IF(R389&gt;0,N(AM388)+1,0))</f>
        <v>0</v>
      </c>
      <c r="AN389">
        <f>IF(AI389=1,MAX('Panel'!$AB$4,N(AN388),AK389),N(AN388))</f>
        <v>21371.061500000033</v>
      </c>
      <c r="AO389">
        <f>IF(AI389=1,AN389-AK389,0)</f>
        <v>0</v>
      </c>
      <c r="AP389">
        <f>IF(AND(AI389=1,AN389&gt;0),AO389/AN389,0)</f>
        <v>0</v>
      </c>
      <c r="AQ389" t="str">
        <f>IF(AI389=1,SUM($AI$5:AI389),"")</f>
        <v/>
      </c>
      <c r="AR389" t="str">
        <f>IF(AI389=1,IF(COUNTIFS($D$5:D389,D389,$AI$5:AI389,1)=1,SUMIFS($AJ$5:$AJ$504,$D$5:$D$504,D389),""),"")</f>
        <v/>
      </c>
      <c r="AS389" t="str">
        <f>IF(AG389=1,WEEKDAY(D389,2),"")</f>
        <v/>
      </c>
      <c r="AT389" s="31" t="str">
        <f>IF(AG389=1,DATE(YEAR(D389),MONTH(D389),1),"")</f>
        <v/>
      </c>
      <c r="AU389">
        <f>IF(AG389=0,0,IF(AND(OR('Prop challenge'!$D$7="",F389='Prop challenge'!$D$7),OR('Prop challenge'!$D$9="",D389&gt;='Prop challenge'!$D$9)),1,0))</f>
        <v>0</v>
      </c>
      <c r="AV389">
        <f>IF(AU389=1,IF(COUNTIFS($D$5:D389,D389,$AU$5:AU389,1)=1,1,0),0)</f>
        <v>0</v>
      </c>
      <c r="AW389" t="str">
        <f>IF(AV389=1,SUM($AV$5:AV389),"")</f>
        <v/>
      </c>
      <c r="AX389" t="str">
        <f>IF(AV389=1,SUMIFS($R$5:$R$504,$D$5:$D$504,D389,$AU$5:$AU$504,1),"")</f>
        <v/>
      </c>
    </row>
    <row r="390">
      <c r="A390" s="20" t="str">
        <f>IF(AG390=1,ROW()-4,"")</f>
        <v/>
      </c>
      <c r="B390" s="21" t="n"/>
      <c r="C390" s="22" t="n"/>
      <c r="D390" s="21" t="n"/>
      <c r="E390" s="22" t="n"/>
      <c r="F390" s="23" t="n"/>
      <c r="G390" s="23" t="n"/>
      <c r="H390" s="23" t="n"/>
      <c r="I390" s="24" t="n"/>
      <c r="J390" s="25" t="n"/>
      <c r="K390" s="25" t="n"/>
      <c r="L390" s="25" t="n"/>
      <c r="M390" s="25" t="n"/>
      <c r="N390" s="26" t="n"/>
      <c r="O390" s="26" t="n"/>
      <c r="P390" s="27" t="str">
        <f>IF(OR(J390="",K390="",I390="",AF390=0,AD390=""),"",(K390-J390)*AF390*I390*AD390*AE390)</f>
        <v/>
      </c>
      <c r="Q390" s="26" t="n"/>
      <c r="R390" s="28" t="str">
        <f>IF(Q390&lt;&gt;"",Q390,IF(P390="","",P390-N(N390)+N(O390)))</f>
        <v/>
      </c>
      <c r="S390" s="27" t="str">
        <f>IF(OR(L390="",J390="",I390="",AD390=""),"",ABS(J390-L390)*I390*AD390*AE390)</f>
        <v/>
      </c>
      <c r="T390" s="29" t="str">
        <f>IF(OR(R390="",S390="",S390=0),"",R390/S390)</f>
        <v/>
      </c>
      <c r="U390" s="20" t="str">
        <f>IF(R390="","",IF(R390&gt;0,"Ganadora",IF(R390&lt;0,"Perdedora","BE")))</f>
        <v/>
      </c>
      <c r="V390" s="23" t="n"/>
      <c r="W390" s="23" t="n"/>
      <c r="X390" s="23" t="n"/>
      <c r="Y390" s="23" t="n"/>
      <c r="Z390" s="23" t="n"/>
      <c r="AA390" s="23" t="n"/>
      <c r="AB390" s="30" t="n"/>
      <c r="AC390" s="1" t="n"/>
      <c r="AD390" s="1" t="str">
        <f>IF(G390="","",IFERROR(INDEX('Listas'!$N$6:$N$35,MATCH(G390,'Listas'!$M$6:$M$35,0)),""))</f>
        <v/>
      </c>
      <c r="AE390">
        <f>IF(G390="",1,IFERROR(INDEX('Listas'!$P$6:$P$35,MATCH(G390,'Listas'!$M$6:$M$35,0)),1))</f>
        <v>1</v>
      </c>
      <c r="AF390">
        <f>IF(H390="Compra",1,IF(H390="Venta",-1,0))</f>
        <v>0</v>
      </c>
      <c r="AG390">
        <f>IF(AND(D390&lt;&gt;"",ISNUMBER(R390)),1,0)</f>
        <v>0</v>
      </c>
      <c r="AH390">
        <f>IF(AG390=0,0,IF(OR('Panel'!$D$5="Todas las cuentas",'Panel'!$D$5="",F390='Panel'!$D$5),1,0))</f>
        <v>0</v>
      </c>
      <c r="AI390">
        <f>IF(AH390=0,0,IF(AND(OR('Panel'!$G$5="",D390&gt;='Panel'!$G$5),OR('Panel'!$J$5="",D390&lt;='Panel'!$J$5)),1,0))</f>
        <v>0</v>
      </c>
      <c r="AJ390">
        <f>IF(AI390=1,R390,0)</f>
        <v>0</v>
      </c>
      <c r="AK390" t="str">
        <f>IF(AI390=1,'Panel'!$AB$4+SUM($AJ$5:AJ390),"")</f>
        <v/>
      </c>
      <c r="AL390">
        <f>IF(AI390=0,N(AL389),IF(R390&lt;0,N(AL389)+1,0))</f>
        <v>1</v>
      </c>
      <c r="AM390">
        <f>IF(AI390=0,N(AM389),IF(R390&gt;0,N(AM389)+1,0))</f>
        <v>0</v>
      </c>
      <c r="AN390">
        <f>IF(AI390=1,MAX('Panel'!$AB$4,N(AN389),AK390),N(AN389))</f>
        <v>21371.061500000033</v>
      </c>
      <c r="AO390">
        <f>IF(AI390=1,AN390-AK390,0)</f>
        <v>0</v>
      </c>
      <c r="AP390">
        <f>IF(AND(AI390=1,AN390&gt;0),AO390/AN390,0)</f>
        <v>0</v>
      </c>
      <c r="AQ390" t="str">
        <f>IF(AI390=1,SUM($AI$5:AI390),"")</f>
        <v/>
      </c>
      <c r="AR390" t="str">
        <f>IF(AI390=1,IF(COUNTIFS($D$5:D390,D390,$AI$5:AI390,1)=1,SUMIFS($AJ$5:$AJ$504,$D$5:$D$504,D390),""),"")</f>
        <v/>
      </c>
      <c r="AS390" t="str">
        <f>IF(AG390=1,WEEKDAY(D390,2),"")</f>
        <v/>
      </c>
      <c r="AT390" s="31" t="str">
        <f>IF(AG390=1,DATE(YEAR(D390),MONTH(D390),1),"")</f>
        <v/>
      </c>
      <c r="AU390">
        <f>IF(AG390=0,0,IF(AND(OR('Prop challenge'!$D$7="",F390='Prop challenge'!$D$7),OR('Prop challenge'!$D$9="",D390&gt;='Prop challenge'!$D$9)),1,0))</f>
        <v>0</v>
      </c>
      <c r="AV390">
        <f>IF(AU390=1,IF(COUNTIFS($D$5:D390,D390,$AU$5:AU390,1)=1,1,0),0)</f>
        <v>0</v>
      </c>
      <c r="AW390" t="str">
        <f>IF(AV390=1,SUM($AV$5:AV390),"")</f>
        <v/>
      </c>
      <c r="AX390" t="str">
        <f>IF(AV390=1,SUMIFS($R$5:$R$504,$D$5:$D$504,D390,$AU$5:$AU$504,1),"")</f>
        <v/>
      </c>
    </row>
    <row r="391">
      <c r="A391" s="20" t="str">
        <f>IF(AG391=1,ROW()-4,"")</f>
        <v/>
      </c>
      <c r="B391" s="21" t="n"/>
      <c r="C391" s="22" t="n"/>
      <c r="D391" s="21" t="n"/>
      <c r="E391" s="22" t="n"/>
      <c r="F391" s="23" t="n"/>
      <c r="G391" s="23" t="n"/>
      <c r="H391" s="23" t="n"/>
      <c r="I391" s="24" t="n"/>
      <c r="J391" s="25" t="n"/>
      <c r="K391" s="25" t="n"/>
      <c r="L391" s="25" t="n"/>
      <c r="M391" s="25" t="n"/>
      <c r="N391" s="26" t="n"/>
      <c r="O391" s="26" t="n"/>
      <c r="P391" s="27" t="str">
        <f>IF(OR(J391="",K391="",I391="",AF391=0,AD391=""),"",(K391-J391)*AF391*I391*AD391*AE391)</f>
        <v/>
      </c>
      <c r="Q391" s="26" t="n"/>
      <c r="R391" s="28" t="str">
        <f>IF(Q391&lt;&gt;"",Q391,IF(P391="","",P391-N(N391)+N(O391)))</f>
        <v/>
      </c>
      <c r="S391" s="27" t="str">
        <f>IF(OR(L391="",J391="",I391="",AD391=""),"",ABS(J391-L391)*I391*AD391*AE391)</f>
        <v/>
      </c>
      <c r="T391" s="29" t="str">
        <f>IF(OR(R391="",S391="",S391=0),"",R391/S391)</f>
        <v/>
      </c>
      <c r="U391" s="20" t="str">
        <f>IF(R391="","",IF(R391&gt;0,"Ganadora",IF(R391&lt;0,"Perdedora","BE")))</f>
        <v/>
      </c>
      <c r="V391" s="23" t="n"/>
      <c r="W391" s="23" t="n"/>
      <c r="X391" s="23" t="n"/>
      <c r="Y391" s="23" t="n"/>
      <c r="Z391" s="23" t="n"/>
      <c r="AA391" s="23" t="n"/>
      <c r="AB391" s="30" t="n"/>
      <c r="AC391" s="1" t="n"/>
      <c r="AD391" s="1" t="str">
        <f>IF(G391="","",IFERROR(INDEX('Listas'!$N$6:$N$35,MATCH(G391,'Listas'!$M$6:$M$35,0)),""))</f>
        <v/>
      </c>
      <c r="AE391">
        <f>IF(G391="",1,IFERROR(INDEX('Listas'!$P$6:$P$35,MATCH(G391,'Listas'!$M$6:$M$35,0)),1))</f>
        <v>1</v>
      </c>
      <c r="AF391">
        <f>IF(H391="Compra",1,IF(H391="Venta",-1,0))</f>
        <v>0</v>
      </c>
      <c r="AG391">
        <f>IF(AND(D391&lt;&gt;"",ISNUMBER(R391)),1,0)</f>
        <v>0</v>
      </c>
      <c r="AH391">
        <f>IF(AG391=0,0,IF(OR('Panel'!$D$5="Todas las cuentas",'Panel'!$D$5="",F391='Panel'!$D$5),1,0))</f>
        <v>0</v>
      </c>
      <c r="AI391">
        <f>IF(AH391=0,0,IF(AND(OR('Panel'!$G$5="",D391&gt;='Panel'!$G$5),OR('Panel'!$J$5="",D391&lt;='Panel'!$J$5)),1,0))</f>
        <v>0</v>
      </c>
      <c r="AJ391">
        <f>IF(AI391=1,R391,0)</f>
        <v>0</v>
      </c>
      <c r="AK391" t="str">
        <f>IF(AI391=1,'Panel'!$AB$4+SUM($AJ$5:AJ391),"")</f>
        <v/>
      </c>
      <c r="AL391">
        <f>IF(AI391=0,N(AL390),IF(R391&lt;0,N(AL390)+1,0))</f>
        <v>1</v>
      </c>
      <c r="AM391">
        <f>IF(AI391=0,N(AM390),IF(R391&gt;0,N(AM390)+1,0))</f>
        <v>0</v>
      </c>
      <c r="AN391">
        <f>IF(AI391=1,MAX('Panel'!$AB$4,N(AN390),AK391),N(AN390))</f>
        <v>21371.061500000033</v>
      </c>
      <c r="AO391">
        <f>IF(AI391=1,AN391-AK391,0)</f>
        <v>0</v>
      </c>
      <c r="AP391">
        <f>IF(AND(AI391=1,AN391&gt;0),AO391/AN391,0)</f>
        <v>0</v>
      </c>
      <c r="AQ391" t="str">
        <f>IF(AI391=1,SUM($AI$5:AI391),"")</f>
        <v/>
      </c>
      <c r="AR391" t="str">
        <f>IF(AI391=1,IF(COUNTIFS($D$5:D391,D391,$AI$5:AI391,1)=1,SUMIFS($AJ$5:$AJ$504,$D$5:$D$504,D391),""),"")</f>
        <v/>
      </c>
      <c r="AS391" t="str">
        <f>IF(AG391=1,WEEKDAY(D391,2),"")</f>
        <v/>
      </c>
      <c r="AT391" s="31" t="str">
        <f>IF(AG391=1,DATE(YEAR(D391),MONTH(D391),1),"")</f>
        <v/>
      </c>
      <c r="AU391">
        <f>IF(AG391=0,0,IF(AND(OR('Prop challenge'!$D$7="",F391='Prop challenge'!$D$7),OR('Prop challenge'!$D$9="",D391&gt;='Prop challenge'!$D$9)),1,0))</f>
        <v>0</v>
      </c>
      <c r="AV391">
        <f>IF(AU391=1,IF(COUNTIFS($D$5:D391,D391,$AU$5:AU391,1)=1,1,0),0)</f>
        <v>0</v>
      </c>
      <c r="AW391" t="str">
        <f>IF(AV391=1,SUM($AV$5:AV391),"")</f>
        <v/>
      </c>
      <c r="AX391" t="str">
        <f>IF(AV391=1,SUMIFS($R$5:$R$504,$D$5:$D$504,D391,$AU$5:$AU$504,1),"")</f>
        <v/>
      </c>
    </row>
    <row r="392">
      <c r="A392" s="20" t="str">
        <f>IF(AG392=1,ROW()-4,"")</f>
        <v/>
      </c>
      <c r="B392" s="21" t="n"/>
      <c r="C392" s="22" t="n"/>
      <c r="D392" s="21" t="n"/>
      <c r="E392" s="22" t="n"/>
      <c r="F392" s="23" t="n"/>
      <c r="G392" s="23" t="n"/>
      <c r="H392" s="23" t="n"/>
      <c r="I392" s="24" t="n"/>
      <c r="J392" s="25" t="n"/>
      <c r="K392" s="25" t="n"/>
      <c r="L392" s="25" t="n"/>
      <c r="M392" s="25" t="n"/>
      <c r="N392" s="26" t="n"/>
      <c r="O392" s="26" t="n"/>
      <c r="P392" s="27" t="str">
        <f>IF(OR(J392="",K392="",I392="",AF392=0,AD392=""),"",(K392-J392)*AF392*I392*AD392*AE392)</f>
        <v/>
      </c>
      <c r="Q392" s="26" t="n"/>
      <c r="R392" s="28" t="str">
        <f>IF(Q392&lt;&gt;"",Q392,IF(P392="","",P392-N(N392)+N(O392)))</f>
        <v/>
      </c>
      <c r="S392" s="27" t="str">
        <f>IF(OR(L392="",J392="",I392="",AD392=""),"",ABS(J392-L392)*I392*AD392*AE392)</f>
        <v/>
      </c>
      <c r="T392" s="29" t="str">
        <f>IF(OR(R392="",S392="",S392=0),"",R392/S392)</f>
        <v/>
      </c>
      <c r="U392" s="20" t="str">
        <f>IF(R392="","",IF(R392&gt;0,"Ganadora",IF(R392&lt;0,"Perdedora","BE")))</f>
        <v/>
      </c>
      <c r="V392" s="23" t="n"/>
      <c r="W392" s="23" t="n"/>
      <c r="X392" s="23" t="n"/>
      <c r="Y392" s="23" t="n"/>
      <c r="Z392" s="23" t="n"/>
      <c r="AA392" s="23" t="n"/>
      <c r="AB392" s="30" t="n"/>
      <c r="AC392" s="1" t="n"/>
      <c r="AD392" s="1" t="str">
        <f>IF(G392="","",IFERROR(INDEX('Listas'!$N$6:$N$35,MATCH(G392,'Listas'!$M$6:$M$35,0)),""))</f>
        <v/>
      </c>
      <c r="AE392">
        <f>IF(G392="",1,IFERROR(INDEX('Listas'!$P$6:$P$35,MATCH(G392,'Listas'!$M$6:$M$35,0)),1))</f>
        <v>1</v>
      </c>
      <c r="AF392">
        <f>IF(H392="Compra",1,IF(H392="Venta",-1,0))</f>
        <v>0</v>
      </c>
      <c r="AG392">
        <f>IF(AND(D392&lt;&gt;"",ISNUMBER(R392)),1,0)</f>
        <v>0</v>
      </c>
      <c r="AH392">
        <f>IF(AG392=0,0,IF(OR('Panel'!$D$5="Todas las cuentas",'Panel'!$D$5="",F392='Panel'!$D$5),1,0))</f>
        <v>0</v>
      </c>
      <c r="AI392">
        <f>IF(AH392=0,0,IF(AND(OR('Panel'!$G$5="",D392&gt;='Panel'!$G$5),OR('Panel'!$J$5="",D392&lt;='Panel'!$J$5)),1,0))</f>
        <v>0</v>
      </c>
      <c r="AJ392">
        <f>IF(AI392=1,R392,0)</f>
        <v>0</v>
      </c>
      <c r="AK392" t="str">
        <f>IF(AI392=1,'Panel'!$AB$4+SUM($AJ$5:AJ392),"")</f>
        <v/>
      </c>
      <c r="AL392">
        <f>IF(AI392=0,N(AL391),IF(R392&lt;0,N(AL391)+1,0))</f>
        <v>1</v>
      </c>
      <c r="AM392">
        <f>IF(AI392=0,N(AM391),IF(R392&gt;0,N(AM391)+1,0))</f>
        <v>0</v>
      </c>
      <c r="AN392">
        <f>IF(AI392=1,MAX('Panel'!$AB$4,N(AN391),AK392),N(AN391))</f>
        <v>21371.061500000033</v>
      </c>
      <c r="AO392">
        <f>IF(AI392=1,AN392-AK392,0)</f>
        <v>0</v>
      </c>
      <c r="AP392">
        <f>IF(AND(AI392=1,AN392&gt;0),AO392/AN392,0)</f>
        <v>0</v>
      </c>
      <c r="AQ392" t="str">
        <f>IF(AI392=1,SUM($AI$5:AI392),"")</f>
        <v/>
      </c>
      <c r="AR392" t="str">
        <f>IF(AI392=1,IF(COUNTIFS($D$5:D392,D392,$AI$5:AI392,1)=1,SUMIFS($AJ$5:$AJ$504,$D$5:$D$504,D392),""),"")</f>
        <v/>
      </c>
      <c r="AS392" t="str">
        <f>IF(AG392=1,WEEKDAY(D392,2),"")</f>
        <v/>
      </c>
      <c r="AT392" s="31" t="str">
        <f>IF(AG392=1,DATE(YEAR(D392),MONTH(D392),1),"")</f>
        <v/>
      </c>
      <c r="AU392">
        <f>IF(AG392=0,0,IF(AND(OR('Prop challenge'!$D$7="",F392='Prop challenge'!$D$7),OR('Prop challenge'!$D$9="",D392&gt;='Prop challenge'!$D$9)),1,0))</f>
        <v>0</v>
      </c>
      <c r="AV392">
        <f>IF(AU392=1,IF(COUNTIFS($D$5:D392,D392,$AU$5:AU392,1)=1,1,0),0)</f>
        <v>0</v>
      </c>
      <c r="AW392" t="str">
        <f>IF(AV392=1,SUM($AV$5:AV392),"")</f>
        <v/>
      </c>
      <c r="AX392" t="str">
        <f>IF(AV392=1,SUMIFS($R$5:$R$504,$D$5:$D$504,D392,$AU$5:$AU$504,1),"")</f>
        <v/>
      </c>
    </row>
    <row r="393">
      <c r="A393" s="20" t="str">
        <f>IF(AG393=1,ROW()-4,"")</f>
        <v/>
      </c>
      <c r="B393" s="21" t="n"/>
      <c r="C393" s="22" t="n"/>
      <c r="D393" s="21" t="n"/>
      <c r="E393" s="22" t="n"/>
      <c r="F393" s="23" t="n"/>
      <c r="G393" s="23" t="n"/>
      <c r="H393" s="23" t="n"/>
      <c r="I393" s="24" t="n"/>
      <c r="J393" s="25" t="n"/>
      <c r="K393" s="25" t="n"/>
      <c r="L393" s="25" t="n"/>
      <c r="M393" s="25" t="n"/>
      <c r="N393" s="26" t="n"/>
      <c r="O393" s="26" t="n"/>
      <c r="P393" s="27" t="str">
        <f>IF(OR(J393="",K393="",I393="",AF393=0,AD393=""),"",(K393-J393)*AF393*I393*AD393*AE393)</f>
        <v/>
      </c>
      <c r="Q393" s="26" t="n"/>
      <c r="R393" s="28" t="str">
        <f>IF(Q393&lt;&gt;"",Q393,IF(P393="","",P393-N(N393)+N(O393)))</f>
        <v/>
      </c>
      <c r="S393" s="27" t="str">
        <f>IF(OR(L393="",J393="",I393="",AD393=""),"",ABS(J393-L393)*I393*AD393*AE393)</f>
        <v/>
      </c>
      <c r="T393" s="29" t="str">
        <f>IF(OR(R393="",S393="",S393=0),"",R393/S393)</f>
        <v/>
      </c>
      <c r="U393" s="20" t="str">
        <f>IF(R393="","",IF(R393&gt;0,"Ganadora",IF(R393&lt;0,"Perdedora","BE")))</f>
        <v/>
      </c>
      <c r="V393" s="23" t="n"/>
      <c r="W393" s="23" t="n"/>
      <c r="X393" s="23" t="n"/>
      <c r="Y393" s="23" t="n"/>
      <c r="Z393" s="23" t="n"/>
      <c r="AA393" s="23" t="n"/>
      <c r="AB393" s="30" t="n"/>
      <c r="AC393" s="1" t="n"/>
      <c r="AD393" s="1" t="str">
        <f>IF(G393="","",IFERROR(INDEX('Listas'!$N$6:$N$35,MATCH(G393,'Listas'!$M$6:$M$35,0)),""))</f>
        <v/>
      </c>
      <c r="AE393">
        <f>IF(G393="",1,IFERROR(INDEX('Listas'!$P$6:$P$35,MATCH(G393,'Listas'!$M$6:$M$35,0)),1))</f>
        <v>1</v>
      </c>
      <c r="AF393">
        <f>IF(H393="Compra",1,IF(H393="Venta",-1,0))</f>
        <v>0</v>
      </c>
      <c r="AG393">
        <f>IF(AND(D393&lt;&gt;"",ISNUMBER(R393)),1,0)</f>
        <v>0</v>
      </c>
      <c r="AH393">
        <f>IF(AG393=0,0,IF(OR('Panel'!$D$5="Todas las cuentas",'Panel'!$D$5="",F393='Panel'!$D$5),1,0))</f>
        <v>0</v>
      </c>
      <c r="AI393">
        <f>IF(AH393=0,0,IF(AND(OR('Panel'!$G$5="",D393&gt;='Panel'!$G$5),OR('Panel'!$J$5="",D393&lt;='Panel'!$J$5)),1,0))</f>
        <v>0</v>
      </c>
      <c r="AJ393">
        <f>IF(AI393=1,R393,0)</f>
        <v>0</v>
      </c>
      <c r="AK393" t="str">
        <f>IF(AI393=1,'Panel'!$AB$4+SUM($AJ$5:AJ393),"")</f>
        <v/>
      </c>
      <c r="AL393">
        <f>IF(AI393=0,N(AL392),IF(R393&lt;0,N(AL392)+1,0))</f>
        <v>1</v>
      </c>
      <c r="AM393">
        <f>IF(AI393=0,N(AM392),IF(R393&gt;0,N(AM392)+1,0))</f>
        <v>0</v>
      </c>
      <c r="AN393">
        <f>IF(AI393=1,MAX('Panel'!$AB$4,N(AN392),AK393),N(AN392))</f>
        <v>21371.061500000033</v>
      </c>
      <c r="AO393">
        <f>IF(AI393=1,AN393-AK393,0)</f>
        <v>0</v>
      </c>
      <c r="AP393">
        <f>IF(AND(AI393=1,AN393&gt;0),AO393/AN393,0)</f>
        <v>0</v>
      </c>
      <c r="AQ393" t="str">
        <f>IF(AI393=1,SUM($AI$5:AI393),"")</f>
        <v/>
      </c>
      <c r="AR393" t="str">
        <f>IF(AI393=1,IF(COUNTIFS($D$5:D393,D393,$AI$5:AI393,1)=1,SUMIFS($AJ$5:$AJ$504,$D$5:$D$504,D393),""),"")</f>
        <v/>
      </c>
      <c r="AS393" t="str">
        <f>IF(AG393=1,WEEKDAY(D393,2),"")</f>
        <v/>
      </c>
      <c r="AT393" s="31" t="str">
        <f>IF(AG393=1,DATE(YEAR(D393),MONTH(D393),1),"")</f>
        <v/>
      </c>
      <c r="AU393">
        <f>IF(AG393=0,0,IF(AND(OR('Prop challenge'!$D$7="",F393='Prop challenge'!$D$7),OR('Prop challenge'!$D$9="",D393&gt;='Prop challenge'!$D$9)),1,0))</f>
        <v>0</v>
      </c>
      <c r="AV393">
        <f>IF(AU393=1,IF(COUNTIFS($D$5:D393,D393,$AU$5:AU393,1)=1,1,0),0)</f>
        <v>0</v>
      </c>
      <c r="AW393" t="str">
        <f>IF(AV393=1,SUM($AV$5:AV393),"")</f>
        <v/>
      </c>
      <c r="AX393" t="str">
        <f>IF(AV393=1,SUMIFS($R$5:$R$504,$D$5:$D$504,D393,$AU$5:$AU$504,1),"")</f>
        <v/>
      </c>
    </row>
    <row r="394">
      <c r="A394" s="20" t="str">
        <f>IF(AG394=1,ROW()-4,"")</f>
        <v/>
      </c>
      <c r="B394" s="21" t="n"/>
      <c r="C394" s="22" t="n"/>
      <c r="D394" s="21" t="n"/>
      <c r="E394" s="22" t="n"/>
      <c r="F394" s="23" t="n"/>
      <c r="G394" s="23" t="n"/>
      <c r="H394" s="23" t="n"/>
      <c r="I394" s="24" t="n"/>
      <c r="J394" s="25" t="n"/>
      <c r="K394" s="25" t="n"/>
      <c r="L394" s="25" t="n"/>
      <c r="M394" s="25" t="n"/>
      <c r="N394" s="26" t="n"/>
      <c r="O394" s="26" t="n"/>
      <c r="P394" s="27" t="str">
        <f>IF(OR(J394="",K394="",I394="",AF394=0,AD394=""),"",(K394-J394)*AF394*I394*AD394*AE394)</f>
        <v/>
      </c>
      <c r="Q394" s="26" t="n"/>
      <c r="R394" s="28" t="str">
        <f>IF(Q394&lt;&gt;"",Q394,IF(P394="","",P394-N(N394)+N(O394)))</f>
        <v/>
      </c>
      <c r="S394" s="27" t="str">
        <f>IF(OR(L394="",J394="",I394="",AD394=""),"",ABS(J394-L394)*I394*AD394*AE394)</f>
        <v/>
      </c>
      <c r="T394" s="29" t="str">
        <f>IF(OR(R394="",S394="",S394=0),"",R394/S394)</f>
        <v/>
      </c>
      <c r="U394" s="20" t="str">
        <f>IF(R394="","",IF(R394&gt;0,"Ganadora",IF(R394&lt;0,"Perdedora","BE")))</f>
        <v/>
      </c>
      <c r="V394" s="23" t="n"/>
      <c r="W394" s="23" t="n"/>
      <c r="X394" s="23" t="n"/>
      <c r="Y394" s="23" t="n"/>
      <c r="Z394" s="23" t="n"/>
      <c r="AA394" s="23" t="n"/>
      <c r="AB394" s="30" t="n"/>
      <c r="AC394" s="1" t="n"/>
      <c r="AD394" s="1" t="str">
        <f>IF(G394="","",IFERROR(INDEX('Listas'!$N$6:$N$35,MATCH(G394,'Listas'!$M$6:$M$35,0)),""))</f>
        <v/>
      </c>
      <c r="AE394">
        <f>IF(G394="",1,IFERROR(INDEX('Listas'!$P$6:$P$35,MATCH(G394,'Listas'!$M$6:$M$35,0)),1))</f>
        <v>1</v>
      </c>
      <c r="AF394">
        <f>IF(H394="Compra",1,IF(H394="Venta",-1,0))</f>
        <v>0</v>
      </c>
      <c r="AG394">
        <f>IF(AND(D394&lt;&gt;"",ISNUMBER(R394)),1,0)</f>
        <v>0</v>
      </c>
      <c r="AH394">
        <f>IF(AG394=0,0,IF(OR('Panel'!$D$5="Todas las cuentas",'Panel'!$D$5="",F394='Panel'!$D$5),1,0))</f>
        <v>0</v>
      </c>
      <c r="AI394">
        <f>IF(AH394=0,0,IF(AND(OR('Panel'!$G$5="",D394&gt;='Panel'!$G$5),OR('Panel'!$J$5="",D394&lt;='Panel'!$J$5)),1,0))</f>
        <v>0</v>
      </c>
      <c r="AJ394">
        <f>IF(AI394=1,R394,0)</f>
        <v>0</v>
      </c>
      <c r="AK394" t="str">
        <f>IF(AI394=1,'Panel'!$AB$4+SUM($AJ$5:AJ394),"")</f>
        <v/>
      </c>
      <c r="AL394">
        <f>IF(AI394=0,N(AL393),IF(R394&lt;0,N(AL393)+1,0))</f>
        <v>1</v>
      </c>
      <c r="AM394">
        <f>IF(AI394=0,N(AM393),IF(R394&gt;0,N(AM393)+1,0))</f>
        <v>0</v>
      </c>
      <c r="AN394">
        <f>IF(AI394=1,MAX('Panel'!$AB$4,N(AN393),AK394),N(AN393))</f>
        <v>21371.061500000033</v>
      </c>
      <c r="AO394">
        <f>IF(AI394=1,AN394-AK394,0)</f>
        <v>0</v>
      </c>
      <c r="AP394">
        <f>IF(AND(AI394=1,AN394&gt;0),AO394/AN394,0)</f>
        <v>0</v>
      </c>
      <c r="AQ394" t="str">
        <f>IF(AI394=1,SUM($AI$5:AI394),"")</f>
        <v/>
      </c>
      <c r="AR394" t="str">
        <f>IF(AI394=1,IF(COUNTIFS($D$5:D394,D394,$AI$5:AI394,1)=1,SUMIFS($AJ$5:$AJ$504,$D$5:$D$504,D394),""),"")</f>
        <v/>
      </c>
      <c r="AS394" t="str">
        <f>IF(AG394=1,WEEKDAY(D394,2),"")</f>
        <v/>
      </c>
      <c r="AT394" s="31" t="str">
        <f>IF(AG394=1,DATE(YEAR(D394),MONTH(D394),1),"")</f>
        <v/>
      </c>
      <c r="AU394">
        <f>IF(AG394=0,0,IF(AND(OR('Prop challenge'!$D$7="",F394='Prop challenge'!$D$7),OR('Prop challenge'!$D$9="",D394&gt;='Prop challenge'!$D$9)),1,0))</f>
        <v>0</v>
      </c>
      <c r="AV394">
        <f>IF(AU394=1,IF(COUNTIFS($D$5:D394,D394,$AU$5:AU394,1)=1,1,0),0)</f>
        <v>0</v>
      </c>
      <c r="AW394" t="str">
        <f>IF(AV394=1,SUM($AV$5:AV394),"")</f>
        <v/>
      </c>
      <c r="AX394" t="str">
        <f>IF(AV394=1,SUMIFS($R$5:$R$504,$D$5:$D$504,D394,$AU$5:$AU$504,1),"")</f>
        <v/>
      </c>
    </row>
    <row r="395">
      <c r="A395" s="20" t="str">
        <f>IF(AG395=1,ROW()-4,"")</f>
        <v/>
      </c>
      <c r="B395" s="21" t="n"/>
      <c r="C395" s="22" t="n"/>
      <c r="D395" s="21" t="n"/>
      <c r="E395" s="22" t="n"/>
      <c r="F395" s="23" t="n"/>
      <c r="G395" s="23" t="n"/>
      <c r="H395" s="23" t="n"/>
      <c r="I395" s="24" t="n"/>
      <c r="J395" s="25" t="n"/>
      <c r="K395" s="25" t="n"/>
      <c r="L395" s="25" t="n"/>
      <c r="M395" s="25" t="n"/>
      <c r="N395" s="26" t="n"/>
      <c r="O395" s="26" t="n"/>
      <c r="P395" s="27" t="str">
        <f>IF(OR(J395="",K395="",I395="",AF395=0,AD395=""),"",(K395-J395)*AF395*I395*AD395*AE395)</f>
        <v/>
      </c>
      <c r="Q395" s="26" t="n"/>
      <c r="R395" s="28" t="str">
        <f>IF(Q395&lt;&gt;"",Q395,IF(P395="","",P395-N(N395)+N(O395)))</f>
        <v/>
      </c>
      <c r="S395" s="27" t="str">
        <f>IF(OR(L395="",J395="",I395="",AD395=""),"",ABS(J395-L395)*I395*AD395*AE395)</f>
        <v/>
      </c>
      <c r="T395" s="29" t="str">
        <f>IF(OR(R395="",S395="",S395=0),"",R395/S395)</f>
        <v/>
      </c>
      <c r="U395" s="20" t="str">
        <f>IF(R395="","",IF(R395&gt;0,"Ganadora",IF(R395&lt;0,"Perdedora","BE")))</f>
        <v/>
      </c>
      <c r="V395" s="23" t="n"/>
      <c r="W395" s="23" t="n"/>
      <c r="X395" s="23" t="n"/>
      <c r="Y395" s="23" t="n"/>
      <c r="Z395" s="23" t="n"/>
      <c r="AA395" s="23" t="n"/>
      <c r="AB395" s="30" t="n"/>
      <c r="AC395" s="1" t="n"/>
      <c r="AD395" s="1" t="str">
        <f>IF(G395="","",IFERROR(INDEX('Listas'!$N$6:$N$35,MATCH(G395,'Listas'!$M$6:$M$35,0)),""))</f>
        <v/>
      </c>
      <c r="AE395">
        <f>IF(G395="",1,IFERROR(INDEX('Listas'!$P$6:$P$35,MATCH(G395,'Listas'!$M$6:$M$35,0)),1))</f>
        <v>1</v>
      </c>
      <c r="AF395">
        <f>IF(H395="Compra",1,IF(H395="Venta",-1,0))</f>
        <v>0</v>
      </c>
      <c r="AG395">
        <f>IF(AND(D395&lt;&gt;"",ISNUMBER(R395)),1,0)</f>
        <v>0</v>
      </c>
      <c r="AH395">
        <f>IF(AG395=0,0,IF(OR('Panel'!$D$5="Todas las cuentas",'Panel'!$D$5="",F395='Panel'!$D$5),1,0))</f>
        <v>0</v>
      </c>
      <c r="AI395">
        <f>IF(AH395=0,0,IF(AND(OR('Panel'!$G$5="",D395&gt;='Panel'!$G$5),OR('Panel'!$J$5="",D395&lt;='Panel'!$J$5)),1,0))</f>
        <v>0</v>
      </c>
      <c r="AJ395">
        <f>IF(AI395=1,R395,0)</f>
        <v>0</v>
      </c>
      <c r="AK395" t="str">
        <f>IF(AI395=1,'Panel'!$AB$4+SUM($AJ$5:AJ395),"")</f>
        <v/>
      </c>
      <c r="AL395">
        <f>IF(AI395=0,N(AL394),IF(R395&lt;0,N(AL394)+1,0))</f>
        <v>1</v>
      </c>
      <c r="AM395">
        <f>IF(AI395=0,N(AM394),IF(R395&gt;0,N(AM394)+1,0))</f>
        <v>0</v>
      </c>
      <c r="AN395">
        <f>IF(AI395=1,MAX('Panel'!$AB$4,N(AN394),AK395),N(AN394))</f>
        <v>21371.061500000033</v>
      </c>
      <c r="AO395">
        <f>IF(AI395=1,AN395-AK395,0)</f>
        <v>0</v>
      </c>
      <c r="AP395">
        <f>IF(AND(AI395=1,AN395&gt;0),AO395/AN395,0)</f>
        <v>0</v>
      </c>
      <c r="AQ395" t="str">
        <f>IF(AI395=1,SUM($AI$5:AI395),"")</f>
        <v/>
      </c>
      <c r="AR395" t="str">
        <f>IF(AI395=1,IF(COUNTIFS($D$5:D395,D395,$AI$5:AI395,1)=1,SUMIFS($AJ$5:$AJ$504,$D$5:$D$504,D395),""),"")</f>
        <v/>
      </c>
      <c r="AS395" t="str">
        <f>IF(AG395=1,WEEKDAY(D395,2),"")</f>
        <v/>
      </c>
      <c r="AT395" s="31" t="str">
        <f>IF(AG395=1,DATE(YEAR(D395),MONTH(D395),1),"")</f>
        <v/>
      </c>
      <c r="AU395">
        <f>IF(AG395=0,0,IF(AND(OR('Prop challenge'!$D$7="",F395='Prop challenge'!$D$7),OR('Prop challenge'!$D$9="",D395&gt;='Prop challenge'!$D$9)),1,0))</f>
        <v>0</v>
      </c>
      <c r="AV395">
        <f>IF(AU395=1,IF(COUNTIFS($D$5:D395,D395,$AU$5:AU395,1)=1,1,0),0)</f>
        <v>0</v>
      </c>
      <c r="AW395" t="str">
        <f>IF(AV395=1,SUM($AV$5:AV395),"")</f>
        <v/>
      </c>
      <c r="AX395" t="str">
        <f>IF(AV395=1,SUMIFS($R$5:$R$504,$D$5:$D$504,D395,$AU$5:$AU$504,1),"")</f>
        <v/>
      </c>
    </row>
    <row r="396">
      <c r="A396" s="20" t="str">
        <f>IF(AG396=1,ROW()-4,"")</f>
        <v/>
      </c>
      <c r="B396" s="21" t="n"/>
      <c r="C396" s="22" t="n"/>
      <c r="D396" s="21" t="n"/>
      <c r="E396" s="22" t="n"/>
      <c r="F396" s="23" t="n"/>
      <c r="G396" s="23" t="n"/>
      <c r="H396" s="23" t="n"/>
      <c r="I396" s="24" t="n"/>
      <c r="J396" s="25" t="n"/>
      <c r="K396" s="25" t="n"/>
      <c r="L396" s="25" t="n"/>
      <c r="M396" s="25" t="n"/>
      <c r="N396" s="26" t="n"/>
      <c r="O396" s="26" t="n"/>
      <c r="P396" s="27" t="str">
        <f>IF(OR(J396="",K396="",I396="",AF396=0,AD396=""),"",(K396-J396)*AF396*I396*AD396*AE396)</f>
        <v/>
      </c>
      <c r="Q396" s="26" t="n"/>
      <c r="R396" s="28" t="str">
        <f>IF(Q396&lt;&gt;"",Q396,IF(P396="","",P396-N(N396)+N(O396)))</f>
        <v/>
      </c>
      <c r="S396" s="27" t="str">
        <f>IF(OR(L396="",J396="",I396="",AD396=""),"",ABS(J396-L396)*I396*AD396*AE396)</f>
        <v/>
      </c>
      <c r="T396" s="29" t="str">
        <f>IF(OR(R396="",S396="",S396=0),"",R396/S396)</f>
        <v/>
      </c>
      <c r="U396" s="20" t="str">
        <f>IF(R396="","",IF(R396&gt;0,"Ganadora",IF(R396&lt;0,"Perdedora","BE")))</f>
        <v/>
      </c>
      <c r="V396" s="23" t="n"/>
      <c r="W396" s="23" t="n"/>
      <c r="X396" s="23" t="n"/>
      <c r="Y396" s="23" t="n"/>
      <c r="Z396" s="23" t="n"/>
      <c r="AA396" s="23" t="n"/>
      <c r="AB396" s="30" t="n"/>
      <c r="AC396" s="1" t="n"/>
      <c r="AD396" s="1" t="str">
        <f>IF(G396="","",IFERROR(INDEX('Listas'!$N$6:$N$35,MATCH(G396,'Listas'!$M$6:$M$35,0)),""))</f>
        <v/>
      </c>
      <c r="AE396">
        <f>IF(G396="",1,IFERROR(INDEX('Listas'!$P$6:$P$35,MATCH(G396,'Listas'!$M$6:$M$35,0)),1))</f>
        <v>1</v>
      </c>
      <c r="AF396">
        <f>IF(H396="Compra",1,IF(H396="Venta",-1,0))</f>
        <v>0</v>
      </c>
      <c r="AG396">
        <f>IF(AND(D396&lt;&gt;"",ISNUMBER(R396)),1,0)</f>
        <v>0</v>
      </c>
      <c r="AH396">
        <f>IF(AG396=0,0,IF(OR('Panel'!$D$5="Todas las cuentas",'Panel'!$D$5="",F396='Panel'!$D$5),1,0))</f>
        <v>0</v>
      </c>
      <c r="AI396">
        <f>IF(AH396=0,0,IF(AND(OR('Panel'!$G$5="",D396&gt;='Panel'!$G$5),OR('Panel'!$J$5="",D396&lt;='Panel'!$J$5)),1,0))</f>
        <v>0</v>
      </c>
      <c r="AJ396">
        <f>IF(AI396=1,R396,0)</f>
        <v>0</v>
      </c>
      <c r="AK396" t="str">
        <f>IF(AI396=1,'Panel'!$AB$4+SUM($AJ$5:AJ396),"")</f>
        <v/>
      </c>
      <c r="AL396">
        <f>IF(AI396=0,N(AL395),IF(R396&lt;0,N(AL395)+1,0))</f>
        <v>1</v>
      </c>
      <c r="AM396">
        <f>IF(AI396=0,N(AM395),IF(R396&gt;0,N(AM395)+1,0))</f>
        <v>0</v>
      </c>
      <c r="AN396">
        <f>IF(AI396=1,MAX('Panel'!$AB$4,N(AN395),AK396),N(AN395))</f>
        <v>21371.061500000033</v>
      </c>
      <c r="AO396">
        <f>IF(AI396=1,AN396-AK396,0)</f>
        <v>0</v>
      </c>
      <c r="AP396">
        <f>IF(AND(AI396=1,AN396&gt;0),AO396/AN396,0)</f>
        <v>0</v>
      </c>
      <c r="AQ396" t="str">
        <f>IF(AI396=1,SUM($AI$5:AI396),"")</f>
        <v/>
      </c>
      <c r="AR396" t="str">
        <f>IF(AI396=1,IF(COUNTIFS($D$5:D396,D396,$AI$5:AI396,1)=1,SUMIFS($AJ$5:$AJ$504,$D$5:$D$504,D396),""),"")</f>
        <v/>
      </c>
      <c r="AS396" t="str">
        <f>IF(AG396=1,WEEKDAY(D396,2),"")</f>
        <v/>
      </c>
      <c r="AT396" s="31" t="str">
        <f>IF(AG396=1,DATE(YEAR(D396),MONTH(D396),1),"")</f>
        <v/>
      </c>
      <c r="AU396">
        <f>IF(AG396=0,0,IF(AND(OR('Prop challenge'!$D$7="",F396='Prop challenge'!$D$7),OR('Prop challenge'!$D$9="",D396&gt;='Prop challenge'!$D$9)),1,0))</f>
        <v>0</v>
      </c>
      <c r="AV396">
        <f>IF(AU396=1,IF(COUNTIFS($D$5:D396,D396,$AU$5:AU396,1)=1,1,0),0)</f>
        <v>0</v>
      </c>
      <c r="AW396" t="str">
        <f>IF(AV396=1,SUM($AV$5:AV396),"")</f>
        <v/>
      </c>
      <c r="AX396" t="str">
        <f>IF(AV396=1,SUMIFS($R$5:$R$504,$D$5:$D$504,D396,$AU$5:$AU$504,1),"")</f>
        <v/>
      </c>
    </row>
    <row r="397">
      <c r="A397" s="20" t="str">
        <f>IF(AG397=1,ROW()-4,"")</f>
        <v/>
      </c>
      <c r="B397" s="21" t="n"/>
      <c r="C397" s="22" t="n"/>
      <c r="D397" s="21" t="n"/>
      <c r="E397" s="22" t="n"/>
      <c r="F397" s="23" t="n"/>
      <c r="G397" s="23" t="n"/>
      <c r="H397" s="23" t="n"/>
      <c r="I397" s="24" t="n"/>
      <c r="J397" s="25" t="n"/>
      <c r="K397" s="25" t="n"/>
      <c r="L397" s="25" t="n"/>
      <c r="M397" s="25" t="n"/>
      <c r="N397" s="26" t="n"/>
      <c r="O397" s="26" t="n"/>
      <c r="P397" s="27" t="str">
        <f>IF(OR(J397="",K397="",I397="",AF397=0,AD397=""),"",(K397-J397)*AF397*I397*AD397*AE397)</f>
        <v/>
      </c>
      <c r="Q397" s="26" t="n"/>
      <c r="R397" s="28" t="str">
        <f>IF(Q397&lt;&gt;"",Q397,IF(P397="","",P397-N(N397)+N(O397)))</f>
        <v/>
      </c>
      <c r="S397" s="27" t="str">
        <f>IF(OR(L397="",J397="",I397="",AD397=""),"",ABS(J397-L397)*I397*AD397*AE397)</f>
        <v/>
      </c>
      <c r="T397" s="29" t="str">
        <f>IF(OR(R397="",S397="",S397=0),"",R397/S397)</f>
        <v/>
      </c>
      <c r="U397" s="20" t="str">
        <f>IF(R397="","",IF(R397&gt;0,"Ganadora",IF(R397&lt;0,"Perdedora","BE")))</f>
        <v/>
      </c>
      <c r="V397" s="23" t="n"/>
      <c r="W397" s="23" t="n"/>
      <c r="X397" s="23" t="n"/>
      <c r="Y397" s="23" t="n"/>
      <c r="Z397" s="23" t="n"/>
      <c r="AA397" s="23" t="n"/>
      <c r="AB397" s="30" t="n"/>
      <c r="AC397" s="1" t="n"/>
      <c r="AD397" s="1" t="str">
        <f>IF(G397="","",IFERROR(INDEX('Listas'!$N$6:$N$35,MATCH(G397,'Listas'!$M$6:$M$35,0)),""))</f>
        <v/>
      </c>
      <c r="AE397">
        <f>IF(G397="",1,IFERROR(INDEX('Listas'!$P$6:$P$35,MATCH(G397,'Listas'!$M$6:$M$35,0)),1))</f>
        <v>1</v>
      </c>
      <c r="AF397">
        <f>IF(H397="Compra",1,IF(H397="Venta",-1,0))</f>
        <v>0</v>
      </c>
      <c r="AG397">
        <f>IF(AND(D397&lt;&gt;"",ISNUMBER(R397)),1,0)</f>
        <v>0</v>
      </c>
      <c r="AH397">
        <f>IF(AG397=0,0,IF(OR('Panel'!$D$5="Todas las cuentas",'Panel'!$D$5="",F397='Panel'!$D$5),1,0))</f>
        <v>0</v>
      </c>
      <c r="AI397">
        <f>IF(AH397=0,0,IF(AND(OR('Panel'!$G$5="",D397&gt;='Panel'!$G$5),OR('Panel'!$J$5="",D397&lt;='Panel'!$J$5)),1,0))</f>
        <v>0</v>
      </c>
      <c r="AJ397">
        <f>IF(AI397=1,R397,0)</f>
        <v>0</v>
      </c>
      <c r="AK397" t="str">
        <f>IF(AI397=1,'Panel'!$AB$4+SUM($AJ$5:AJ397),"")</f>
        <v/>
      </c>
      <c r="AL397">
        <f>IF(AI397=0,N(AL396),IF(R397&lt;0,N(AL396)+1,0))</f>
        <v>1</v>
      </c>
      <c r="AM397">
        <f>IF(AI397=0,N(AM396),IF(R397&gt;0,N(AM396)+1,0))</f>
        <v>0</v>
      </c>
      <c r="AN397">
        <f>IF(AI397=1,MAX('Panel'!$AB$4,N(AN396),AK397),N(AN396))</f>
        <v>21371.061500000033</v>
      </c>
      <c r="AO397">
        <f>IF(AI397=1,AN397-AK397,0)</f>
        <v>0</v>
      </c>
      <c r="AP397">
        <f>IF(AND(AI397=1,AN397&gt;0),AO397/AN397,0)</f>
        <v>0</v>
      </c>
      <c r="AQ397" t="str">
        <f>IF(AI397=1,SUM($AI$5:AI397),"")</f>
        <v/>
      </c>
      <c r="AR397" t="str">
        <f>IF(AI397=1,IF(COUNTIFS($D$5:D397,D397,$AI$5:AI397,1)=1,SUMIFS($AJ$5:$AJ$504,$D$5:$D$504,D397),""),"")</f>
        <v/>
      </c>
      <c r="AS397" t="str">
        <f>IF(AG397=1,WEEKDAY(D397,2),"")</f>
        <v/>
      </c>
      <c r="AT397" s="31" t="str">
        <f>IF(AG397=1,DATE(YEAR(D397),MONTH(D397),1),"")</f>
        <v/>
      </c>
      <c r="AU397">
        <f>IF(AG397=0,0,IF(AND(OR('Prop challenge'!$D$7="",F397='Prop challenge'!$D$7),OR('Prop challenge'!$D$9="",D397&gt;='Prop challenge'!$D$9)),1,0))</f>
        <v>0</v>
      </c>
      <c r="AV397">
        <f>IF(AU397=1,IF(COUNTIFS($D$5:D397,D397,$AU$5:AU397,1)=1,1,0),0)</f>
        <v>0</v>
      </c>
      <c r="AW397" t="str">
        <f>IF(AV397=1,SUM($AV$5:AV397),"")</f>
        <v/>
      </c>
      <c r="AX397" t="str">
        <f>IF(AV397=1,SUMIFS($R$5:$R$504,$D$5:$D$504,D397,$AU$5:$AU$504,1),"")</f>
        <v/>
      </c>
    </row>
    <row r="398">
      <c r="A398" s="20" t="str">
        <f>IF(AG398=1,ROW()-4,"")</f>
        <v/>
      </c>
      <c r="B398" s="21" t="n"/>
      <c r="C398" s="22" t="n"/>
      <c r="D398" s="21" t="n"/>
      <c r="E398" s="22" t="n"/>
      <c r="F398" s="23" t="n"/>
      <c r="G398" s="23" t="n"/>
      <c r="H398" s="23" t="n"/>
      <c r="I398" s="24" t="n"/>
      <c r="J398" s="25" t="n"/>
      <c r="K398" s="25" t="n"/>
      <c r="L398" s="25" t="n"/>
      <c r="M398" s="25" t="n"/>
      <c r="N398" s="26" t="n"/>
      <c r="O398" s="26" t="n"/>
      <c r="P398" s="27" t="str">
        <f>IF(OR(J398="",K398="",I398="",AF398=0,AD398=""),"",(K398-J398)*AF398*I398*AD398*AE398)</f>
        <v/>
      </c>
      <c r="Q398" s="26" t="n"/>
      <c r="R398" s="28" t="str">
        <f>IF(Q398&lt;&gt;"",Q398,IF(P398="","",P398-N(N398)+N(O398)))</f>
        <v/>
      </c>
      <c r="S398" s="27" t="str">
        <f>IF(OR(L398="",J398="",I398="",AD398=""),"",ABS(J398-L398)*I398*AD398*AE398)</f>
        <v/>
      </c>
      <c r="T398" s="29" t="str">
        <f>IF(OR(R398="",S398="",S398=0),"",R398/S398)</f>
        <v/>
      </c>
      <c r="U398" s="20" t="str">
        <f>IF(R398="","",IF(R398&gt;0,"Ganadora",IF(R398&lt;0,"Perdedora","BE")))</f>
        <v/>
      </c>
      <c r="V398" s="23" t="n"/>
      <c r="W398" s="23" t="n"/>
      <c r="X398" s="23" t="n"/>
      <c r="Y398" s="23" t="n"/>
      <c r="Z398" s="23" t="n"/>
      <c r="AA398" s="23" t="n"/>
      <c r="AB398" s="30" t="n"/>
      <c r="AC398" s="1" t="n"/>
      <c r="AD398" s="1" t="str">
        <f>IF(G398="","",IFERROR(INDEX('Listas'!$N$6:$N$35,MATCH(G398,'Listas'!$M$6:$M$35,0)),""))</f>
        <v/>
      </c>
      <c r="AE398">
        <f>IF(G398="",1,IFERROR(INDEX('Listas'!$P$6:$P$35,MATCH(G398,'Listas'!$M$6:$M$35,0)),1))</f>
        <v>1</v>
      </c>
      <c r="AF398">
        <f>IF(H398="Compra",1,IF(H398="Venta",-1,0))</f>
        <v>0</v>
      </c>
      <c r="AG398">
        <f>IF(AND(D398&lt;&gt;"",ISNUMBER(R398)),1,0)</f>
        <v>0</v>
      </c>
      <c r="AH398">
        <f>IF(AG398=0,0,IF(OR('Panel'!$D$5="Todas las cuentas",'Panel'!$D$5="",F398='Panel'!$D$5),1,0))</f>
        <v>0</v>
      </c>
      <c r="AI398">
        <f>IF(AH398=0,0,IF(AND(OR('Panel'!$G$5="",D398&gt;='Panel'!$G$5),OR('Panel'!$J$5="",D398&lt;='Panel'!$J$5)),1,0))</f>
        <v>0</v>
      </c>
      <c r="AJ398">
        <f>IF(AI398=1,R398,0)</f>
        <v>0</v>
      </c>
      <c r="AK398" t="str">
        <f>IF(AI398=1,'Panel'!$AB$4+SUM($AJ$5:AJ398),"")</f>
        <v/>
      </c>
      <c r="AL398">
        <f>IF(AI398=0,N(AL397),IF(R398&lt;0,N(AL397)+1,0))</f>
        <v>1</v>
      </c>
      <c r="AM398">
        <f>IF(AI398=0,N(AM397),IF(R398&gt;0,N(AM397)+1,0))</f>
        <v>0</v>
      </c>
      <c r="AN398">
        <f>IF(AI398=1,MAX('Panel'!$AB$4,N(AN397),AK398),N(AN397))</f>
        <v>21371.061500000033</v>
      </c>
      <c r="AO398">
        <f>IF(AI398=1,AN398-AK398,0)</f>
        <v>0</v>
      </c>
      <c r="AP398">
        <f>IF(AND(AI398=1,AN398&gt;0),AO398/AN398,0)</f>
        <v>0</v>
      </c>
      <c r="AQ398" t="str">
        <f>IF(AI398=1,SUM($AI$5:AI398),"")</f>
        <v/>
      </c>
      <c r="AR398" t="str">
        <f>IF(AI398=1,IF(COUNTIFS($D$5:D398,D398,$AI$5:AI398,1)=1,SUMIFS($AJ$5:$AJ$504,$D$5:$D$504,D398),""),"")</f>
        <v/>
      </c>
      <c r="AS398" t="str">
        <f>IF(AG398=1,WEEKDAY(D398,2),"")</f>
        <v/>
      </c>
      <c r="AT398" s="31" t="str">
        <f>IF(AG398=1,DATE(YEAR(D398),MONTH(D398),1),"")</f>
        <v/>
      </c>
      <c r="AU398">
        <f>IF(AG398=0,0,IF(AND(OR('Prop challenge'!$D$7="",F398='Prop challenge'!$D$7),OR('Prop challenge'!$D$9="",D398&gt;='Prop challenge'!$D$9)),1,0))</f>
        <v>0</v>
      </c>
      <c r="AV398">
        <f>IF(AU398=1,IF(COUNTIFS($D$5:D398,D398,$AU$5:AU398,1)=1,1,0),0)</f>
        <v>0</v>
      </c>
      <c r="AW398" t="str">
        <f>IF(AV398=1,SUM($AV$5:AV398),"")</f>
        <v/>
      </c>
      <c r="AX398" t="str">
        <f>IF(AV398=1,SUMIFS($R$5:$R$504,$D$5:$D$504,D398,$AU$5:$AU$504,1),"")</f>
        <v/>
      </c>
    </row>
    <row r="399">
      <c r="A399" s="20" t="str">
        <f>IF(AG399=1,ROW()-4,"")</f>
        <v/>
      </c>
      <c r="B399" s="21" t="n"/>
      <c r="C399" s="22" t="n"/>
      <c r="D399" s="21" t="n"/>
      <c r="E399" s="22" t="n"/>
      <c r="F399" s="23" t="n"/>
      <c r="G399" s="23" t="n"/>
      <c r="H399" s="23" t="n"/>
      <c r="I399" s="24" t="n"/>
      <c r="J399" s="25" t="n"/>
      <c r="K399" s="25" t="n"/>
      <c r="L399" s="25" t="n"/>
      <c r="M399" s="25" t="n"/>
      <c r="N399" s="26" t="n"/>
      <c r="O399" s="26" t="n"/>
      <c r="P399" s="27" t="str">
        <f>IF(OR(J399="",K399="",I399="",AF399=0,AD399=""),"",(K399-J399)*AF399*I399*AD399*AE399)</f>
        <v/>
      </c>
      <c r="Q399" s="26" t="n"/>
      <c r="R399" s="28" t="str">
        <f>IF(Q399&lt;&gt;"",Q399,IF(P399="","",P399-N(N399)+N(O399)))</f>
        <v/>
      </c>
      <c r="S399" s="27" t="str">
        <f>IF(OR(L399="",J399="",I399="",AD399=""),"",ABS(J399-L399)*I399*AD399*AE399)</f>
        <v/>
      </c>
      <c r="T399" s="29" t="str">
        <f>IF(OR(R399="",S399="",S399=0),"",R399/S399)</f>
        <v/>
      </c>
      <c r="U399" s="20" t="str">
        <f>IF(R399="","",IF(R399&gt;0,"Ganadora",IF(R399&lt;0,"Perdedora","BE")))</f>
        <v/>
      </c>
      <c r="V399" s="23" t="n"/>
      <c r="W399" s="23" t="n"/>
      <c r="X399" s="23" t="n"/>
      <c r="Y399" s="23" t="n"/>
      <c r="Z399" s="23" t="n"/>
      <c r="AA399" s="23" t="n"/>
      <c r="AB399" s="30" t="n"/>
      <c r="AC399" s="1" t="n"/>
      <c r="AD399" s="1" t="str">
        <f>IF(G399="","",IFERROR(INDEX('Listas'!$N$6:$N$35,MATCH(G399,'Listas'!$M$6:$M$35,0)),""))</f>
        <v/>
      </c>
      <c r="AE399">
        <f>IF(G399="",1,IFERROR(INDEX('Listas'!$P$6:$P$35,MATCH(G399,'Listas'!$M$6:$M$35,0)),1))</f>
        <v>1</v>
      </c>
      <c r="AF399">
        <f>IF(H399="Compra",1,IF(H399="Venta",-1,0))</f>
        <v>0</v>
      </c>
      <c r="AG399">
        <f>IF(AND(D399&lt;&gt;"",ISNUMBER(R399)),1,0)</f>
        <v>0</v>
      </c>
      <c r="AH399">
        <f>IF(AG399=0,0,IF(OR('Panel'!$D$5="Todas las cuentas",'Panel'!$D$5="",F399='Panel'!$D$5),1,0))</f>
        <v>0</v>
      </c>
      <c r="AI399">
        <f>IF(AH399=0,0,IF(AND(OR('Panel'!$G$5="",D399&gt;='Panel'!$G$5),OR('Panel'!$J$5="",D399&lt;='Panel'!$J$5)),1,0))</f>
        <v>0</v>
      </c>
      <c r="AJ399">
        <f>IF(AI399=1,R399,0)</f>
        <v>0</v>
      </c>
      <c r="AK399" t="str">
        <f>IF(AI399=1,'Panel'!$AB$4+SUM($AJ$5:AJ399),"")</f>
        <v/>
      </c>
      <c r="AL399">
        <f>IF(AI399=0,N(AL398),IF(R399&lt;0,N(AL398)+1,0))</f>
        <v>1</v>
      </c>
      <c r="AM399">
        <f>IF(AI399=0,N(AM398),IF(R399&gt;0,N(AM398)+1,0))</f>
        <v>0</v>
      </c>
      <c r="AN399">
        <f>IF(AI399=1,MAX('Panel'!$AB$4,N(AN398),AK399),N(AN398))</f>
        <v>21371.061500000033</v>
      </c>
      <c r="AO399">
        <f>IF(AI399=1,AN399-AK399,0)</f>
        <v>0</v>
      </c>
      <c r="AP399">
        <f>IF(AND(AI399=1,AN399&gt;0),AO399/AN399,0)</f>
        <v>0</v>
      </c>
      <c r="AQ399" t="str">
        <f>IF(AI399=1,SUM($AI$5:AI399),"")</f>
        <v/>
      </c>
      <c r="AR399" t="str">
        <f>IF(AI399=1,IF(COUNTIFS($D$5:D399,D399,$AI$5:AI399,1)=1,SUMIFS($AJ$5:$AJ$504,$D$5:$D$504,D399),""),"")</f>
        <v/>
      </c>
      <c r="AS399" t="str">
        <f>IF(AG399=1,WEEKDAY(D399,2),"")</f>
        <v/>
      </c>
      <c r="AT399" s="31" t="str">
        <f>IF(AG399=1,DATE(YEAR(D399),MONTH(D399),1),"")</f>
        <v/>
      </c>
      <c r="AU399">
        <f>IF(AG399=0,0,IF(AND(OR('Prop challenge'!$D$7="",F399='Prop challenge'!$D$7),OR('Prop challenge'!$D$9="",D399&gt;='Prop challenge'!$D$9)),1,0))</f>
        <v>0</v>
      </c>
      <c r="AV399">
        <f>IF(AU399=1,IF(COUNTIFS($D$5:D399,D399,$AU$5:AU399,1)=1,1,0),0)</f>
        <v>0</v>
      </c>
      <c r="AW399" t="str">
        <f>IF(AV399=1,SUM($AV$5:AV399),"")</f>
        <v/>
      </c>
      <c r="AX399" t="str">
        <f>IF(AV399=1,SUMIFS($R$5:$R$504,$D$5:$D$504,D399,$AU$5:$AU$504,1),"")</f>
        <v/>
      </c>
    </row>
    <row r="400">
      <c r="A400" s="20" t="str">
        <f>IF(AG400=1,ROW()-4,"")</f>
        <v/>
      </c>
      <c r="B400" s="21" t="n"/>
      <c r="C400" s="22" t="n"/>
      <c r="D400" s="21" t="n"/>
      <c r="E400" s="22" t="n"/>
      <c r="F400" s="23" t="n"/>
      <c r="G400" s="23" t="n"/>
      <c r="H400" s="23" t="n"/>
      <c r="I400" s="24" t="n"/>
      <c r="J400" s="25" t="n"/>
      <c r="K400" s="25" t="n"/>
      <c r="L400" s="25" t="n"/>
      <c r="M400" s="25" t="n"/>
      <c r="N400" s="26" t="n"/>
      <c r="O400" s="26" t="n"/>
      <c r="P400" s="27" t="str">
        <f>IF(OR(J400="",K400="",I400="",AF400=0,AD400=""),"",(K400-J400)*AF400*I400*AD400*AE400)</f>
        <v/>
      </c>
      <c r="Q400" s="26" t="n"/>
      <c r="R400" s="28" t="str">
        <f>IF(Q400&lt;&gt;"",Q400,IF(P400="","",P400-N(N400)+N(O400)))</f>
        <v/>
      </c>
      <c r="S400" s="27" t="str">
        <f>IF(OR(L400="",J400="",I400="",AD400=""),"",ABS(J400-L400)*I400*AD400*AE400)</f>
        <v/>
      </c>
      <c r="T400" s="29" t="str">
        <f>IF(OR(R400="",S400="",S400=0),"",R400/S400)</f>
        <v/>
      </c>
      <c r="U400" s="20" t="str">
        <f>IF(R400="","",IF(R400&gt;0,"Ganadora",IF(R400&lt;0,"Perdedora","BE")))</f>
        <v/>
      </c>
      <c r="V400" s="23" t="n"/>
      <c r="W400" s="23" t="n"/>
      <c r="X400" s="23" t="n"/>
      <c r="Y400" s="23" t="n"/>
      <c r="Z400" s="23" t="n"/>
      <c r="AA400" s="23" t="n"/>
      <c r="AB400" s="30" t="n"/>
      <c r="AC400" s="1" t="n"/>
      <c r="AD400" s="1" t="str">
        <f>IF(G400="","",IFERROR(INDEX('Listas'!$N$6:$N$35,MATCH(G400,'Listas'!$M$6:$M$35,0)),""))</f>
        <v/>
      </c>
      <c r="AE400">
        <f>IF(G400="",1,IFERROR(INDEX('Listas'!$P$6:$P$35,MATCH(G400,'Listas'!$M$6:$M$35,0)),1))</f>
        <v>1</v>
      </c>
      <c r="AF400">
        <f>IF(H400="Compra",1,IF(H400="Venta",-1,0))</f>
        <v>0</v>
      </c>
      <c r="AG400">
        <f>IF(AND(D400&lt;&gt;"",ISNUMBER(R400)),1,0)</f>
        <v>0</v>
      </c>
      <c r="AH400">
        <f>IF(AG400=0,0,IF(OR('Panel'!$D$5="Todas las cuentas",'Panel'!$D$5="",F400='Panel'!$D$5),1,0))</f>
        <v>0</v>
      </c>
      <c r="AI400">
        <f>IF(AH400=0,0,IF(AND(OR('Panel'!$G$5="",D400&gt;='Panel'!$G$5),OR('Panel'!$J$5="",D400&lt;='Panel'!$J$5)),1,0))</f>
        <v>0</v>
      </c>
      <c r="AJ400">
        <f>IF(AI400=1,R400,0)</f>
        <v>0</v>
      </c>
      <c r="AK400" t="str">
        <f>IF(AI400=1,'Panel'!$AB$4+SUM($AJ$5:AJ400),"")</f>
        <v/>
      </c>
      <c r="AL400">
        <f>IF(AI400=0,N(AL399),IF(R400&lt;0,N(AL399)+1,0))</f>
        <v>1</v>
      </c>
      <c r="AM400">
        <f>IF(AI400=0,N(AM399),IF(R400&gt;0,N(AM399)+1,0))</f>
        <v>0</v>
      </c>
      <c r="AN400">
        <f>IF(AI400=1,MAX('Panel'!$AB$4,N(AN399),AK400),N(AN399))</f>
        <v>21371.061500000033</v>
      </c>
      <c r="AO400">
        <f>IF(AI400=1,AN400-AK400,0)</f>
        <v>0</v>
      </c>
      <c r="AP400">
        <f>IF(AND(AI400=1,AN400&gt;0),AO400/AN400,0)</f>
        <v>0</v>
      </c>
      <c r="AQ400" t="str">
        <f>IF(AI400=1,SUM($AI$5:AI400),"")</f>
        <v/>
      </c>
      <c r="AR400" t="str">
        <f>IF(AI400=1,IF(COUNTIFS($D$5:D400,D400,$AI$5:AI400,1)=1,SUMIFS($AJ$5:$AJ$504,$D$5:$D$504,D400),""),"")</f>
        <v/>
      </c>
      <c r="AS400" t="str">
        <f>IF(AG400=1,WEEKDAY(D400,2),"")</f>
        <v/>
      </c>
      <c r="AT400" s="31" t="str">
        <f>IF(AG400=1,DATE(YEAR(D400),MONTH(D400),1),"")</f>
        <v/>
      </c>
      <c r="AU400">
        <f>IF(AG400=0,0,IF(AND(OR('Prop challenge'!$D$7="",F400='Prop challenge'!$D$7),OR('Prop challenge'!$D$9="",D400&gt;='Prop challenge'!$D$9)),1,0))</f>
        <v>0</v>
      </c>
      <c r="AV400">
        <f>IF(AU400=1,IF(COUNTIFS($D$5:D400,D400,$AU$5:AU400,1)=1,1,0),0)</f>
        <v>0</v>
      </c>
      <c r="AW400" t="str">
        <f>IF(AV400=1,SUM($AV$5:AV400),"")</f>
        <v/>
      </c>
      <c r="AX400" t="str">
        <f>IF(AV400=1,SUMIFS($R$5:$R$504,$D$5:$D$504,D400,$AU$5:$AU$504,1),"")</f>
        <v/>
      </c>
    </row>
    <row r="401">
      <c r="A401" s="20" t="str">
        <f>IF(AG401=1,ROW()-4,"")</f>
        <v/>
      </c>
      <c r="B401" s="21" t="n"/>
      <c r="C401" s="22" t="n"/>
      <c r="D401" s="21" t="n"/>
      <c r="E401" s="22" t="n"/>
      <c r="F401" s="23" t="n"/>
      <c r="G401" s="23" t="n"/>
      <c r="H401" s="23" t="n"/>
      <c r="I401" s="24" t="n"/>
      <c r="J401" s="25" t="n"/>
      <c r="K401" s="25" t="n"/>
      <c r="L401" s="25" t="n"/>
      <c r="M401" s="25" t="n"/>
      <c r="N401" s="26" t="n"/>
      <c r="O401" s="26" t="n"/>
      <c r="P401" s="27" t="str">
        <f>IF(OR(J401="",K401="",I401="",AF401=0,AD401=""),"",(K401-J401)*AF401*I401*AD401*AE401)</f>
        <v/>
      </c>
      <c r="Q401" s="26" t="n"/>
      <c r="R401" s="28" t="str">
        <f>IF(Q401&lt;&gt;"",Q401,IF(P401="","",P401-N(N401)+N(O401)))</f>
        <v/>
      </c>
      <c r="S401" s="27" t="str">
        <f>IF(OR(L401="",J401="",I401="",AD401=""),"",ABS(J401-L401)*I401*AD401*AE401)</f>
        <v/>
      </c>
      <c r="T401" s="29" t="str">
        <f>IF(OR(R401="",S401="",S401=0),"",R401/S401)</f>
        <v/>
      </c>
      <c r="U401" s="20" t="str">
        <f>IF(R401="","",IF(R401&gt;0,"Ganadora",IF(R401&lt;0,"Perdedora","BE")))</f>
        <v/>
      </c>
      <c r="V401" s="23" t="n"/>
      <c r="W401" s="23" t="n"/>
      <c r="X401" s="23" t="n"/>
      <c r="Y401" s="23" t="n"/>
      <c r="Z401" s="23" t="n"/>
      <c r="AA401" s="23" t="n"/>
      <c r="AB401" s="30" t="n"/>
      <c r="AC401" s="1" t="n"/>
      <c r="AD401" s="1" t="str">
        <f>IF(G401="","",IFERROR(INDEX('Listas'!$N$6:$N$35,MATCH(G401,'Listas'!$M$6:$M$35,0)),""))</f>
        <v/>
      </c>
      <c r="AE401">
        <f>IF(G401="",1,IFERROR(INDEX('Listas'!$P$6:$P$35,MATCH(G401,'Listas'!$M$6:$M$35,0)),1))</f>
        <v>1</v>
      </c>
      <c r="AF401">
        <f>IF(H401="Compra",1,IF(H401="Venta",-1,0))</f>
        <v>0</v>
      </c>
      <c r="AG401">
        <f>IF(AND(D401&lt;&gt;"",ISNUMBER(R401)),1,0)</f>
        <v>0</v>
      </c>
      <c r="AH401">
        <f>IF(AG401=0,0,IF(OR('Panel'!$D$5="Todas las cuentas",'Panel'!$D$5="",F401='Panel'!$D$5),1,0))</f>
        <v>0</v>
      </c>
      <c r="AI401">
        <f>IF(AH401=0,0,IF(AND(OR('Panel'!$G$5="",D401&gt;='Panel'!$G$5),OR('Panel'!$J$5="",D401&lt;='Panel'!$J$5)),1,0))</f>
        <v>0</v>
      </c>
      <c r="AJ401">
        <f>IF(AI401=1,R401,0)</f>
        <v>0</v>
      </c>
      <c r="AK401" t="str">
        <f>IF(AI401=1,'Panel'!$AB$4+SUM($AJ$5:AJ401),"")</f>
        <v/>
      </c>
      <c r="AL401">
        <f>IF(AI401=0,N(AL400),IF(R401&lt;0,N(AL400)+1,0))</f>
        <v>1</v>
      </c>
      <c r="AM401">
        <f>IF(AI401=0,N(AM400),IF(R401&gt;0,N(AM400)+1,0))</f>
        <v>0</v>
      </c>
      <c r="AN401">
        <f>IF(AI401=1,MAX('Panel'!$AB$4,N(AN400),AK401),N(AN400))</f>
        <v>21371.061500000033</v>
      </c>
      <c r="AO401">
        <f>IF(AI401=1,AN401-AK401,0)</f>
        <v>0</v>
      </c>
      <c r="AP401">
        <f>IF(AND(AI401=1,AN401&gt;0),AO401/AN401,0)</f>
        <v>0</v>
      </c>
      <c r="AQ401" t="str">
        <f>IF(AI401=1,SUM($AI$5:AI401),"")</f>
        <v/>
      </c>
      <c r="AR401" t="str">
        <f>IF(AI401=1,IF(COUNTIFS($D$5:D401,D401,$AI$5:AI401,1)=1,SUMIFS($AJ$5:$AJ$504,$D$5:$D$504,D401),""),"")</f>
        <v/>
      </c>
      <c r="AS401" t="str">
        <f>IF(AG401=1,WEEKDAY(D401,2),"")</f>
        <v/>
      </c>
      <c r="AT401" s="31" t="str">
        <f>IF(AG401=1,DATE(YEAR(D401),MONTH(D401),1),"")</f>
        <v/>
      </c>
      <c r="AU401">
        <f>IF(AG401=0,0,IF(AND(OR('Prop challenge'!$D$7="",F401='Prop challenge'!$D$7),OR('Prop challenge'!$D$9="",D401&gt;='Prop challenge'!$D$9)),1,0))</f>
        <v>0</v>
      </c>
      <c r="AV401">
        <f>IF(AU401=1,IF(COUNTIFS($D$5:D401,D401,$AU$5:AU401,1)=1,1,0),0)</f>
        <v>0</v>
      </c>
      <c r="AW401" t="str">
        <f>IF(AV401=1,SUM($AV$5:AV401),"")</f>
        <v/>
      </c>
      <c r="AX401" t="str">
        <f>IF(AV401=1,SUMIFS($R$5:$R$504,$D$5:$D$504,D401,$AU$5:$AU$504,1),"")</f>
        <v/>
      </c>
    </row>
    <row r="402">
      <c r="A402" s="20" t="str">
        <f>IF(AG402=1,ROW()-4,"")</f>
        <v/>
      </c>
      <c r="B402" s="21" t="n"/>
      <c r="C402" s="22" t="n"/>
      <c r="D402" s="21" t="n"/>
      <c r="E402" s="22" t="n"/>
      <c r="F402" s="23" t="n"/>
      <c r="G402" s="23" t="n"/>
      <c r="H402" s="23" t="n"/>
      <c r="I402" s="24" t="n"/>
      <c r="J402" s="25" t="n"/>
      <c r="K402" s="25" t="n"/>
      <c r="L402" s="25" t="n"/>
      <c r="M402" s="25" t="n"/>
      <c r="N402" s="26" t="n"/>
      <c r="O402" s="26" t="n"/>
      <c r="P402" s="27" t="str">
        <f>IF(OR(J402="",K402="",I402="",AF402=0,AD402=""),"",(K402-J402)*AF402*I402*AD402*AE402)</f>
        <v/>
      </c>
      <c r="Q402" s="26" t="n"/>
      <c r="R402" s="28" t="str">
        <f>IF(Q402&lt;&gt;"",Q402,IF(P402="","",P402-N(N402)+N(O402)))</f>
        <v/>
      </c>
      <c r="S402" s="27" t="str">
        <f>IF(OR(L402="",J402="",I402="",AD402=""),"",ABS(J402-L402)*I402*AD402*AE402)</f>
        <v/>
      </c>
      <c r="T402" s="29" t="str">
        <f>IF(OR(R402="",S402="",S402=0),"",R402/S402)</f>
        <v/>
      </c>
      <c r="U402" s="20" t="str">
        <f>IF(R402="","",IF(R402&gt;0,"Ganadora",IF(R402&lt;0,"Perdedora","BE")))</f>
        <v/>
      </c>
      <c r="V402" s="23" t="n"/>
      <c r="W402" s="23" t="n"/>
      <c r="X402" s="23" t="n"/>
      <c r="Y402" s="23" t="n"/>
      <c r="Z402" s="23" t="n"/>
      <c r="AA402" s="23" t="n"/>
      <c r="AB402" s="30" t="n"/>
      <c r="AC402" s="1" t="n"/>
      <c r="AD402" s="1" t="str">
        <f>IF(G402="","",IFERROR(INDEX('Listas'!$N$6:$N$35,MATCH(G402,'Listas'!$M$6:$M$35,0)),""))</f>
        <v/>
      </c>
      <c r="AE402">
        <f>IF(G402="",1,IFERROR(INDEX('Listas'!$P$6:$P$35,MATCH(G402,'Listas'!$M$6:$M$35,0)),1))</f>
        <v>1</v>
      </c>
      <c r="AF402">
        <f>IF(H402="Compra",1,IF(H402="Venta",-1,0))</f>
        <v>0</v>
      </c>
      <c r="AG402">
        <f>IF(AND(D402&lt;&gt;"",ISNUMBER(R402)),1,0)</f>
        <v>0</v>
      </c>
      <c r="AH402">
        <f>IF(AG402=0,0,IF(OR('Panel'!$D$5="Todas las cuentas",'Panel'!$D$5="",F402='Panel'!$D$5),1,0))</f>
        <v>0</v>
      </c>
      <c r="AI402">
        <f>IF(AH402=0,0,IF(AND(OR('Panel'!$G$5="",D402&gt;='Panel'!$G$5),OR('Panel'!$J$5="",D402&lt;='Panel'!$J$5)),1,0))</f>
        <v>0</v>
      </c>
      <c r="AJ402">
        <f>IF(AI402=1,R402,0)</f>
        <v>0</v>
      </c>
      <c r="AK402" t="str">
        <f>IF(AI402=1,'Panel'!$AB$4+SUM($AJ$5:AJ402),"")</f>
        <v/>
      </c>
      <c r="AL402">
        <f>IF(AI402=0,N(AL401),IF(R402&lt;0,N(AL401)+1,0))</f>
        <v>1</v>
      </c>
      <c r="AM402">
        <f>IF(AI402=0,N(AM401),IF(R402&gt;0,N(AM401)+1,0))</f>
        <v>0</v>
      </c>
      <c r="AN402">
        <f>IF(AI402=1,MAX('Panel'!$AB$4,N(AN401),AK402),N(AN401))</f>
        <v>21371.061500000033</v>
      </c>
      <c r="AO402">
        <f>IF(AI402=1,AN402-AK402,0)</f>
        <v>0</v>
      </c>
      <c r="AP402">
        <f>IF(AND(AI402=1,AN402&gt;0),AO402/AN402,0)</f>
        <v>0</v>
      </c>
      <c r="AQ402" t="str">
        <f>IF(AI402=1,SUM($AI$5:AI402),"")</f>
        <v/>
      </c>
      <c r="AR402" t="str">
        <f>IF(AI402=1,IF(COUNTIFS($D$5:D402,D402,$AI$5:AI402,1)=1,SUMIFS($AJ$5:$AJ$504,$D$5:$D$504,D402),""),"")</f>
        <v/>
      </c>
      <c r="AS402" t="str">
        <f>IF(AG402=1,WEEKDAY(D402,2),"")</f>
        <v/>
      </c>
      <c r="AT402" s="31" t="str">
        <f>IF(AG402=1,DATE(YEAR(D402),MONTH(D402),1),"")</f>
        <v/>
      </c>
      <c r="AU402">
        <f>IF(AG402=0,0,IF(AND(OR('Prop challenge'!$D$7="",F402='Prop challenge'!$D$7),OR('Prop challenge'!$D$9="",D402&gt;='Prop challenge'!$D$9)),1,0))</f>
        <v>0</v>
      </c>
      <c r="AV402">
        <f>IF(AU402=1,IF(COUNTIFS($D$5:D402,D402,$AU$5:AU402,1)=1,1,0),0)</f>
        <v>0</v>
      </c>
      <c r="AW402" t="str">
        <f>IF(AV402=1,SUM($AV$5:AV402),"")</f>
        <v/>
      </c>
      <c r="AX402" t="str">
        <f>IF(AV402=1,SUMIFS($R$5:$R$504,$D$5:$D$504,D402,$AU$5:$AU$504,1),"")</f>
        <v/>
      </c>
    </row>
    <row r="403">
      <c r="A403" s="20" t="str">
        <f>IF(AG403=1,ROW()-4,"")</f>
        <v/>
      </c>
      <c r="B403" s="21" t="n"/>
      <c r="C403" s="22" t="n"/>
      <c r="D403" s="21" t="n"/>
      <c r="E403" s="22" t="n"/>
      <c r="F403" s="23" t="n"/>
      <c r="G403" s="23" t="n"/>
      <c r="H403" s="23" t="n"/>
      <c r="I403" s="24" t="n"/>
      <c r="J403" s="25" t="n"/>
      <c r="K403" s="25" t="n"/>
      <c r="L403" s="25" t="n"/>
      <c r="M403" s="25" t="n"/>
      <c r="N403" s="26" t="n"/>
      <c r="O403" s="26" t="n"/>
      <c r="P403" s="27" t="str">
        <f>IF(OR(J403="",K403="",I403="",AF403=0,AD403=""),"",(K403-J403)*AF403*I403*AD403*AE403)</f>
        <v/>
      </c>
      <c r="Q403" s="26" t="n"/>
      <c r="R403" s="28" t="str">
        <f>IF(Q403&lt;&gt;"",Q403,IF(P403="","",P403-N(N403)+N(O403)))</f>
        <v/>
      </c>
      <c r="S403" s="27" t="str">
        <f>IF(OR(L403="",J403="",I403="",AD403=""),"",ABS(J403-L403)*I403*AD403*AE403)</f>
        <v/>
      </c>
      <c r="T403" s="29" t="str">
        <f>IF(OR(R403="",S403="",S403=0),"",R403/S403)</f>
        <v/>
      </c>
      <c r="U403" s="20" t="str">
        <f>IF(R403="","",IF(R403&gt;0,"Ganadora",IF(R403&lt;0,"Perdedora","BE")))</f>
        <v/>
      </c>
      <c r="V403" s="23" t="n"/>
      <c r="W403" s="23" t="n"/>
      <c r="X403" s="23" t="n"/>
      <c r="Y403" s="23" t="n"/>
      <c r="Z403" s="23" t="n"/>
      <c r="AA403" s="23" t="n"/>
      <c r="AB403" s="30" t="n"/>
      <c r="AC403" s="1" t="n"/>
      <c r="AD403" s="1" t="str">
        <f>IF(G403="","",IFERROR(INDEX('Listas'!$N$6:$N$35,MATCH(G403,'Listas'!$M$6:$M$35,0)),""))</f>
        <v/>
      </c>
      <c r="AE403">
        <f>IF(G403="",1,IFERROR(INDEX('Listas'!$P$6:$P$35,MATCH(G403,'Listas'!$M$6:$M$35,0)),1))</f>
        <v>1</v>
      </c>
      <c r="AF403">
        <f>IF(H403="Compra",1,IF(H403="Venta",-1,0))</f>
        <v>0</v>
      </c>
      <c r="AG403">
        <f>IF(AND(D403&lt;&gt;"",ISNUMBER(R403)),1,0)</f>
        <v>0</v>
      </c>
      <c r="AH403">
        <f>IF(AG403=0,0,IF(OR('Panel'!$D$5="Todas las cuentas",'Panel'!$D$5="",F403='Panel'!$D$5),1,0))</f>
        <v>0</v>
      </c>
      <c r="AI403">
        <f>IF(AH403=0,0,IF(AND(OR('Panel'!$G$5="",D403&gt;='Panel'!$G$5),OR('Panel'!$J$5="",D403&lt;='Panel'!$J$5)),1,0))</f>
        <v>0</v>
      </c>
      <c r="AJ403">
        <f>IF(AI403=1,R403,0)</f>
        <v>0</v>
      </c>
      <c r="AK403" t="str">
        <f>IF(AI403=1,'Panel'!$AB$4+SUM($AJ$5:AJ403),"")</f>
        <v/>
      </c>
      <c r="AL403">
        <f>IF(AI403=0,N(AL402),IF(R403&lt;0,N(AL402)+1,0))</f>
        <v>1</v>
      </c>
      <c r="AM403">
        <f>IF(AI403=0,N(AM402),IF(R403&gt;0,N(AM402)+1,0))</f>
        <v>0</v>
      </c>
      <c r="AN403">
        <f>IF(AI403=1,MAX('Panel'!$AB$4,N(AN402),AK403),N(AN402))</f>
        <v>21371.061500000033</v>
      </c>
      <c r="AO403">
        <f>IF(AI403=1,AN403-AK403,0)</f>
        <v>0</v>
      </c>
      <c r="AP403">
        <f>IF(AND(AI403=1,AN403&gt;0),AO403/AN403,0)</f>
        <v>0</v>
      </c>
      <c r="AQ403" t="str">
        <f>IF(AI403=1,SUM($AI$5:AI403),"")</f>
        <v/>
      </c>
      <c r="AR403" t="str">
        <f>IF(AI403=1,IF(COUNTIFS($D$5:D403,D403,$AI$5:AI403,1)=1,SUMIFS($AJ$5:$AJ$504,$D$5:$D$504,D403),""),"")</f>
        <v/>
      </c>
      <c r="AS403" t="str">
        <f>IF(AG403=1,WEEKDAY(D403,2),"")</f>
        <v/>
      </c>
      <c r="AT403" s="31" t="str">
        <f>IF(AG403=1,DATE(YEAR(D403),MONTH(D403),1),"")</f>
        <v/>
      </c>
      <c r="AU403">
        <f>IF(AG403=0,0,IF(AND(OR('Prop challenge'!$D$7="",F403='Prop challenge'!$D$7),OR('Prop challenge'!$D$9="",D403&gt;='Prop challenge'!$D$9)),1,0))</f>
        <v>0</v>
      </c>
      <c r="AV403">
        <f>IF(AU403=1,IF(COUNTIFS($D$5:D403,D403,$AU$5:AU403,1)=1,1,0),0)</f>
        <v>0</v>
      </c>
      <c r="AW403" t="str">
        <f>IF(AV403=1,SUM($AV$5:AV403),"")</f>
        <v/>
      </c>
      <c r="AX403" t="str">
        <f>IF(AV403=1,SUMIFS($R$5:$R$504,$D$5:$D$504,D403,$AU$5:$AU$504,1),"")</f>
        <v/>
      </c>
    </row>
    <row r="404">
      <c r="A404" s="20" t="str">
        <f>IF(AG404=1,ROW()-4,"")</f>
        <v/>
      </c>
      <c r="B404" s="21" t="n"/>
      <c r="C404" s="22" t="n"/>
      <c r="D404" s="21" t="n"/>
      <c r="E404" s="22" t="n"/>
      <c r="F404" s="23" t="n"/>
      <c r="G404" s="23" t="n"/>
      <c r="H404" s="23" t="n"/>
      <c r="I404" s="24" t="n"/>
      <c r="J404" s="25" t="n"/>
      <c r="K404" s="25" t="n"/>
      <c r="L404" s="25" t="n"/>
      <c r="M404" s="25" t="n"/>
      <c r="N404" s="26" t="n"/>
      <c r="O404" s="26" t="n"/>
      <c r="P404" s="27" t="str">
        <f>IF(OR(J404="",K404="",I404="",AF404=0,AD404=""),"",(K404-J404)*AF404*I404*AD404*AE404)</f>
        <v/>
      </c>
      <c r="Q404" s="26" t="n"/>
      <c r="R404" s="28" t="str">
        <f>IF(Q404&lt;&gt;"",Q404,IF(P404="","",P404-N(N404)+N(O404)))</f>
        <v/>
      </c>
      <c r="S404" s="27" t="str">
        <f>IF(OR(L404="",J404="",I404="",AD404=""),"",ABS(J404-L404)*I404*AD404*AE404)</f>
        <v/>
      </c>
      <c r="T404" s="29" t="str">
        <f>IF(OR(R404="",S404="",S404=0),"",R404/S404)</f>
        <v/>
      </c>
      <c r="U404" s="20" t="str">
        <f>IF(R404="","",IF(R404&gt;0,"Ganadora",IF(R404&lt;0,"Perdedora","BE")))</f>
        <v/>
      </c>
      <c r="V404" s="23" t="n"/>
      <c r="W404" s="23" t="n"/>
      <c r="X404" s="23" t="n"/>
      <c r="Y404" s="23" t="n"/>
      <c r="Z404" s="23" t="n"/>
      <c r="AA404" s="23" t="n"/>
      <c r="AB404" s="30" t="n"/>
      <c r="AC404" s="1" t="n"/>
      <c r="AD404" s="1" t="str">
        <f>IF(G404="","",IFERROR(INDEX('Listas'!$N$6:$N$35,MATCH(G404,'Listas'!$M$6:$M$35,0)),""))</f>
        <v/>
      </c>
      <c r="AE404">
        <f>IF(G404="",1,IFERROR(INDEX('Listas'!$P$6:$P$35,MATCH(G404,'Listas'!$M$6:$M$35,0)),1))</f>
        <v>1</v>
      </c>
      <c r="AF404">
        <f>IF(H404="Compra",1,IF(H404="Venta",-1,0))</f>
        <v>0</v>
      </c>
      <c r="AG404">
        <f>IF(AND(D404&lt;&gt;"",ISNUMBER(R404)),1,0)</f>
        <v>0</v>
      </c>
      <c r="AH404">
        <f>IF(AG404=0,0,IF(OR('Panel'!$D$5="Todas las cuentas",'Panel'!$D$5="",F404='Panel'!$D$5),1,0))</f>
        <v>0</v>
      </c>
      <c r="AI404">
        <f>IF(AH404=0,0,IF(AND(OR('Panel'!$G$5="",D404&gt;='Panel'!$G$5),OR('Panel'!$J$5="",D404&lt;='Panel'!$J$5)),1,0))</f>
        <v>0</v>
      </c>
      <c r="AJ404">
        <f>IF(AI404=1,R404,0)</f>
        <v>0</v>
      </c>
      <c r="AK404" t="str">
        <f>IF(AI404=1,'Panel'!$AB$4+SUM($AJ$5:AJ404),"")</f>
        <v/>
      </c>
      <c r="AL404">
        <f>IF(AI404=0,N(AL403),IF(R404&lt;0,N(AL403)+1,0))</f>
        <v>1</v>
      </c>
      <c r="AM404">
        <f>IF(AI404=0,N(AM403),IF(R404&gt;0,N(AM403)+1,0))</f>
        <v>0</v>
      </c>
      <c r="AN404">
        <f>IF(AI404=1,MAX('Panel'!$AB$4,N(AN403),AK404),N(AN403))</f>
        <v>21371.061500000033</v>
      </c>
      <c r="AO404">
        <f>IF(AI404=1,AN404-AK404,0)</f>
        <v>0</v>
      </c>
      <c r="AP404">
        <f>IF(AND(AI404=1,AN404&gt;0),AO404/AN404,0)</f>
        <v>0</v>
      </c>
      <c r="AQ404" t="str">
        <f>IF(AI404=1,SUM($AI$5:AI404),"")</f>
        <v/>
      </c>
      <c r="AR404" t="str">
        <f>IF(AI404=1,IF(COUNTIFS($D$5:D404,D404,$AI$5:AI404,1)=1,SUMIFS($AJ$5:$AJ$504,$D$5:$D$504,D404),""),"")</f>
        <v/>
      </c>
      <c r="AS404" t="str">
        <f>IF(AG404=1,WEEKDAY(D404,2),"")</f>
        <v/>
      </c>
      <c r="AT404" s="31" t="str">
        <f>IF(AG404=1,DATE(YEAR(D404),MONTH(D404),1),"")</f>
        <v/>
      </c>
      <c r="AU404">
        <f>IF(AG404=0,0,IF(AND(OR('Prop challenge'!$D$7="",F404='Prop challenge'!$D$7),OR('Prop challenge'!$D$9="",D404&gt;='Prop challenge'!$D$9)),1,0))</f>
        <v>0</v>
      </c>
      <c r="AV404">
        <f>IF(AU404=1,IF(COUNTIFS($D$5:D404,D404,$AU$5:AU404,1)=1,1,0),0)</f>
        <v>0</v>
      </c>
      <c r="AW404" t="str">
        <f>IF(AV404=1,SUM($AV$5:AV404),"")</f>
        <v/>
      </c>
      <c r="AX404" t="str">
        <f>IF(AV404=1,SUMIFS($R$5:$R$504,$D$5:$D$504,D404,$AU$5:$AU$504,1),"")</f>
        <v/>
      </c>
    </row>
    <row r="405">
      <c r="A405" s="20" t="str">
        <f>IF(AG405=1,ROW()-4,"")</f>
        <v/>
      </c>
      <c r="B405" s="21" t="n"/>
      <c r="C405" s="22" t="n"/>
      <c r="D405" s="21" t="n"/>
      <c r="E405" s="22" t="n"/>
      <c r="F405" s="23" t="n"/>
      <c r="G405" s="23" t="n"/>
      <c r="H405" s="23" t="n"/>
      <c r="I405" s="24" t="n"/>
      <c r="J405" s="25" t="n"/>
      <c r="K405" s="25" t="n"/>
      <c r="L405" s="25" t="n"/>
      <c r="M405" s="25" t="n"/>
      <c r="N405" s="26" t="n"/>
      <c r="O405" s="26" t="n"/>
      <c r="P405" s="27" t="str">
        <f>IF(OR(J405="",K405="",I405="",AF405=0,AD405=""),"",(K405-J405)*AF405*I405*AD405*AE405)</f>
        <v/>
      </c>
      <c r="Q405" s="26" t="n"/>
      <c r="R405" s="28" t="str">
        <f>IF(Q405&lt;&gt;"",Q405,IF(P405="","",P405-N(N405)+N(O405)))</f>
        <v/>
      </c>
      <c r="S405" s="27" t="str">
        <f>IF(OR(L405="",J405="",I405="",AD405=""),"",ABS(J405-L405)*I405*AD405*AE405)</f>
        <v/>
      </c>
      <c r="T405" s="29" t="str">
        <f>IF(OR(R405="",S405="",S405=0),"",R405/S405)</f>
        <v/>
      </c>
      <c r="U405" s="20" t="str">
        <f>IF(R405="","",IF(R405&gt;0,"Ganadora",IF(R405&lt;0,"Perdedora","BE")))</f>
        <v/>
      </c>
      <c r="V405" s="23" t="n"/>
      <c r="W405" s="23" t="n"/>
      <c r="X405" s="23" t="n"/>
      <c r="Y405" s="23" t="n"/>
      <c r="Z405" s="23" t="n"/>
      <c r="AA405" s="23" t="n"/>
      <c r="AB405" s="30" t="n"/>
      <c r="AC405" s="1" t="n"/>
      <c r="AD405" s="1" t="str">
        <f>IF(G405="","",IFERROR(INDEX('Listas'!$N$6:$N$35,MATCH(G405,'Listas'!$M$6:$M$35,0)),""))</f>
        <v/>
      </c>
      <c r="AE405">
        <f>IF(G405="",1,IFERROR(INDEX('Listas'!$P$6:$P$35,MATCH(G405,'Listas'!$M$6:$M$35,0)),1))</f>
        <v>1</v>
      </c>
      <c r="AF405">
        <f>IF(H405="Compra",1,IF(H405="Venta",-1,0))</f>
        <v>0</v>
      </c>
      <c r="AG405">
        <f>IF(AND(D405&lt;&gt;"",ISNUMBER(R405)),1,0)</f>
        <v>0</v>
      </c>
      <c r="AH405">
        <f>IF(AG405=0,0,IF(OR('Panel'!$D$5="Todas las cuentas",'Panel'!$D$5="",F405='Panel'!$D$5),1,0))</f>
        <v>0</v>
      </c>
      <c r="AI405">
        <f>IF(AH405=0,0,IF(AND(OR('Panel'!$G$5="",D405&gt;='Panel'!$G$5),OR('Panel'!$J$5="",D405&lt;='Panel'!$J$5)),1,0))</f>
        <v>0</v>
      </c>
      <c r="AJ405">
        <f>IF(AI405=1,R405,0)</f>
        <v>0</v>
      </c>
      <c r="AK405" t="str">
        <f>IF(AI405=1,'Panel'!$AB$4+SUM($AJ$5:AJ405),"")</f>
        <v/>
      </c>
      <c r="AL405">
        <f>IF(AI405=0,N(AL404),IF(R405&lt;0,N(AL404)+1,0))</f>
        <v>1</v>
      </c>
      <c r="AM405">
        <f>IF(AI405=0,N(AM404),IF(R405&gt;0,N(AM404)+1,0))</f>
        <v>0</v>
      </c>
      <c r="AN405">
        <f>IF(AI405=1,MAX('Panel'!$AB$4,N(AN404),AK405),N(AN404))</f>
        <v>21371.061500000033</v>
      </c>
      <c r="AO405">
        <f>IF(AI405=1,AN405-AK405,0)</f>
        <v>0</v>
      </c>
      <c r="AP405">
        <f>IF(AND(AI405=1,AN405&gt;0),AO405/AN405,0)</f>
        <v>0</v>
      </c>
      <c r="AQ405" t="str">
        <f>IF(AI405=1,SUM($AI$5:AI405),"")</f>
        <v/>
      </c>
      <c r="AR405" t="str">
        <f>IF(AI405=1,IF(COUNTIFS($D$5:D405,D405,$AI$5:AI405,1)=1,SUMIFS($AJ$5:$AJ$504,$D$5:$D$504,D405),""),"")</f>
        <v/>
      </c>
      <c r="AS405" t="str">
        <f>IF(AG405=1,WEEKDAY(D405,2),"")</f>
        <v/>
      </c>
      <c r="AT405" s="31" t="str">
        <f>IF(AG405=1,DATE(YEAR(D405),MONTH(D405),1),"")</f>
        <v/>
      </c>
      <c r="AU405">
        <f>IF(AG405=0,0,IF(AND(OR('Prop challenge'!$D$7="",F405='Prop challenge'!$D$7),OR('Prop challenge'!$D$9="",D405&gt;='Prop challenge'!$D$9)),1,0))</f>
        <v>0</v>
      </c>
      <c r="AV405">
        <f>IF(AU405=1,IF(COUNTIFS($D$5:D405,D405,$AU$5:AU405,1)=1,1,0),0)</f>
        <v>0</v>
      </c>
      <c r="AW405" t="str">
        <f>IF(AV405=1,SUM($AV$5:AV405),"")</f>
        <v/>
      </c>
      <c r="AX405" t="str">
        <f>IF(AV405=1,SUMIFS($R$5:$R$504,$D$5:$D$504,D405,$AU$5:$AU$504,1),"")</f>
        <v/>
      </c>
    </row>
    <row r="406">
      <c r="A406" s="20" t="str">
        <f>IF(AG406=1,ROW()-4,"")</f>
        <v/>
      </c>
      <c r="B406" s="21" t="n"/>
      <c r="C406" s="22" t="n"/>
      <c r="D406" s="21" t="n"/>
      <c r="E406" s="22" t="n"/>
      <c r="F406" s="23" t="n"/>
      <c r="G406" s="23" t="n"/>
      <c r="H406" s="23" t="n"/>
      <c r="I406" s="24" t="n"/>
      <c r="J406" s="25" t="n"/>
      <c r="K406" s="25" t="n"/>
      <c r="L406" s="25" t="n"/>
      <c r="M406" s="25" t="n"/>
      <c r="N406" s="26" t="n"/>
      <c r="O406" s="26" t="n"/>
      <c r="P406" s="27" t="str">
        <f>IF(OR(J406="",K406="",I406="",AF406=0,AD406=""),"",(K406-J406)*AF406*I406*AD406*AE406)</f>
        <v/>
      </c>
      <c r="Q406" s="26" t="n"/>
      <c r="R406" s="28" t="str">
        <f>IF(Q406&lt;&gt;"",Q406,IF(P406="","",P406-N(N406)+N(O406)))</f>
        <v/>
      </c>
      <c r="S406" s="27" t="str">
        <f>IF(OR(L406="",J406="",I406="",AD406=""),"",ABS(J406-L406)*I406*AD406*AE406)</f>
        <v/>
      </c>
      <c r="T406" s="29" t="str">
        <f>IF(OR(R406="",S406="",S406=0),"",R406/S406)</f>
        <v/>
      </c>
      <c r="U406" s="20" t="str">
        <f>IF(R406="","",IF(R406&gt;0,"Ganadora",IF(R406&lt;0,"Perdedora","BE")))</f>
        <v/>
      </c>
      <c r="V406" s="23" t="n"/>
      <c r="W406" s="23" t="n"/>
      <c r="X406" s="23" t="n"/>
      <c r="Y406" s="23" t="n"/>
      <c r="Z406" s="23" t="n"/>
      <c r="AA406" s="23" t="n"/>
      <c r="AB406" s="30" t="n"/>
      <c r="AC406" s="1" t="n"/>
      <c r="AD406" s="1" t="str">
        <f>IF(G406="","",IFERROR(INDEX('Listas'!$N$6:$N$35,MATCH(G406,'Listas'!$M$6:$M$35,0)),""))</f>
        <v/>
      </c>
      <c r="AE406">
        <f>IF(G406="",1,IFERROR(INDEX('Listas'!$P$6:$P$35,MATCH(G406,'Listas'!$M$6:$M$35,0)),1))</f>
        <v>1</v>
      </c>
      <c r="AF406">
        <f>IF(H406="Compra",1,IF(H406="Venta",-1,0))</f>
        <v>0</v>
      </c>
      <c r="AG406">
        <f>IF(AND(D406&lt;&gt;"",ISNUMBER(R406)),1,0)</f>
        <v>0</v>
      </c>
      <c r="AH406">
        <f>IF(AG406=0,0,IF(OR('Panel'!$D$5="Todas las cuentas",'Panel'!$D$5="",F406='Panel'!$D$5),1,0))</f>
        <v>0</v>
      </c>
      <c r="AI406">
        <f>IF(AH406=0,0,IF(AND(OR('Panel'!$G$5="",D406&gt;='Panel'!$G$5),OR('Panel'!$J$5="",D406&lt;='Panel'!$J$5)),1,0))</f>
        <v>0</v>
      </c>
      <c r="AJ406">
        <f>IF(AI406=1,R406,0)</f>
        <v>0</v>
      </c>
      <c r="AK406" t="str">
        <f>IF(AI406=1,'Panel'!$AB$4+SUM($AJ$5:AJ406),"")</f>
        <v/>
      </c>
      <c r="AL406">
        <f>IF(AI406=0,N(AL405),IF(R406&lt;0,N(AL405)+1,0))</f>
        <v>1</v>
      </c>
      <c r="AM406">
        <f>IF(AI406=0,N(AM405),IF(R406&gt;0,N(AM405)+1,0))</f>
        <v>0</v>
      </c>
      <c r="AN406">
        <f>IF(AI406=1,MAX('Panel'!$AB$4,N(AN405),AK406),N(AN405))</f>
        <v>21371.061500000033</v>
      </c>
      <c r="AO406">
        <f>IF(AI406=1,AN406-AK406,0)</f>
        <v>0</v>
      </c>
      <c r="AP406">
        <f>IF(AND(AI406=1,AN406&gt;0),AO406/AN406,0)</f>
        <v>0</v>
      </c>
      <c r="AQ406" t="str">
        <f>IF(AI406=1,SUM($AI$5:AI406),"")</f>
        <v/>
      </c>
      <c r="AR406" t="str">
        <f>IF(AI406=1,IF(COUNTIFS($D$5:D406,D406,$AI$5:AI406,1)=1,SUMIFS($AJ$5:$AJ$504,$D$5:$D$504,D406),""),"")</f>
        <v/>
      </c>
      <c r="AS406" t="str">
        <f>IF(AG406=1,WEEKDAY(D406,2),"")</f>
        <v/>
      </c>
      <c r="AT406" s="31" t="str">
        <f>IF(AG406=1,DATE(YEAR(D406),MONTH(D406),1),"")</f>
        <v/>
      </c>
      <c r="AU406">
        <f>IF(AG406=0,0,IF(AND(OR('Prop challenge'!$D$7="",F406='Prop challenge'!$D$7),OR('Prop challenge'!$D$9="",D406&gt;='Prop challenge'!$D$9)),1,0))</f>
        <v>0</v>
      </c>
      <c r="AV406">
        <f>IF(AU406=1,IF(COUNTIFS($D$5:D406,D406,$AU$5:AU406,1)=1,1,0),0)</f>
        <v>0</v>
      </c>
      <c r="AW406" t="str">
        <f>IF(AV406=1,SUM($AV$5:AV406),"")</f>
        <v/>
      </c>
      <c r="AX406" t="str">
        <f>IF(AV406=1,SUMIFS($R$5:$R$504,$D$5:$D$504,D406,$AU$5:$AU$504,1),"")</f>
        <v/>
      </c>
    </row>
    <row r="407">
      <c r="A407" s="20" t="str">
        <f>IF(AG407=1,ROW()-4,"")</f>
        <v/>
      </c>
      <c r="B407" s="21" t="n"/>
      <c r="C407" s="22" t="n"/>
      <c r="D407" s="21" t="n"/>
      <c r="E407" s="22" t="n"/>
      <c r="F407" s="23" t="n"/>
      <c r="G407" s="23" t="n"/>
      <c r="H407" s="23" t="n"/>
      <c r="I407" s="24" t="n"/>
      <c r="J407" s="25" t="n"/>
      <c r="K407" s="25" t="n"/>
      <c r="L407" s="25" t="n"/>
      <c r="M407" s="25" t="n"/>
      <c r="N407" s="26" t="n"/>
      <c r="O407" s="26" t="n"/>
      <c r="P407" s="27" t="str">
        <f>IF(OR(J407="",K407="",I407="",AF407=0,AD407=""),"",(K407-J407)*AF407*I407*AD407*AE407)</f>
        <v/>
      </c>
      <c r="Q407" s="26" t="n"/>
      <c r="R407" s="28" t="str">
        <f>IF(Q407&lt;&gt;"",Q407,IF(P407="","",P407-N(N407)+N(O407)))</f>
        <v/>
      </c>
      <c r="S407" s="27" t="str">
        <f>IF(OR(L407="",J407="",I407="",AD407=""),"",ABS(J407-L407)*I407*AD407*AE407)</f>
        <v/>
      </c>
      <c r="T407" s="29" t="str">
        <f>IF(OR(R407="",S407="",S407=0),"",R407/S407)</f>
        <v/>
      </c>
      <c r="U407" s="20" t="str">
        <f>IF(R407="","",IF(R407&gt;0,"Ganadora",IF(R407&lt;0,"Perdedora","BE")))</f>
        <v/>
      </c>
      <c r="V407" s="23" t="n"/>
      <c r="W407" s="23" t="n"/>
      <c r="X407" s="23" t="n"/>
      <c r="Y407" s="23" t="n"/>
      <c r="Z407" s="23" t="n"/>
      <c r="AA407" s="23" t="n"/>
      <c r="AB407" s="30" t="n"/>
      <c r="AC407" s="1" t="n"/>
      <c r="AD407" s="1" t="str">
        <f>IF(G407="","",IFERROR(INDEX('Listas'!$N$6:$N$35,MATCH(G407,'Listas'!$M$6:$M$35,0)),""))</f>
        <v/>
      </c>
      <c r="AE407">
        <f>IF(G407="",1,IFERROR(INDEX('Listas'!$P$6:$P$35,MATCH(G407,'Listas'!$M$6:$M$35,0)),1))</f>
        <v>1</v>
      </c>
      <c r="AF407">
        <f>IF(H407="Compra",1,IF(H407="Venta",-1,0))</f>
        <v>0</v>
      </c>
      <c r="AG407">
        <f>IF(AND(D407&lt;&gt;"",ISNUMBER(R407)),1,0)</f>
        <v>0</v>
      </c>
      <c r="AH407">
        <f>IF(AG407=0,0,IF(OR('Panel'!$D$5="Todas las cuentas",'Panel'!$D$5="",F407='Panel'!$D$5),1,0))</f>
        <v>0</v>
      </c>
      <c r="AI407">
        <f>IF(AH407=0,0,IF(AND(OR('Panel'!$G$5="",D407&gt;='Panel'!$G$5),OR('Panel'!$J$5="",D407&lt;='Panel'!$J$5)),1,0))</f>
        <v>0</v>
      </c>
      <c r="AJ407">
        <f>IF(AI407=1,R407,0)</f>
        <v>0</v>
      </c>
      <c r="AK407" t="str">
        <f>IF(AI407=1,'Panel'!$AB$4+SUM($AJ$5:AJ407),"")</f>
        <v/>
      </c>
      <c r="AL407">
        <f>IF(AI407=0,N(AL406),IF(R407&lt;0,N(AL406)+1,0))</f>
        <v>1</v>
      </c>
      <c r="AM407">
        <f>IF(AI407=0,N(AM406),IF(R407&gt;0,N(AM406)+1,0))</f>
        <v>0</v>
      </c>
      <c r="AN407">
        <f>IF(AI407=1,MAX('Panel'!$AB$4,N(AN406),AK407),N(AN406))</f>
        <v>21371.061500000033</v>
      </c>
      <c r="AO407">
        <f>IF(AI407=1,AN407-AK407,0)</f>
        <v>0</v>
      </c>
      <c r="AP407">
        <f>IF(AND(AI407=1,AN407&gt;0),AO407/AN407,0)</f>
        <v>0</v>
      </c>
      <c r="AQ407" t="str">
        <f>IF(AI407=1,SUM($AI$5:AI407),"")</f>
        <v/>
      </c>
      <c r="AR407" t="str">
        <f>IF(AI407=1,IF(COUNTIFS($D$5:D407,D407,$AI$5:AI407,1)=1,SUMIFS($AJ$5:$AJ$504,$D$5:$D$504,D407),""),"")</f>
        <v/>
      </c>
      <c r="AS407" t="str">
        <f>IF(AG407=1,WEEKDAY(D407,2),"")</f>
        <v/>
      </c>
      <c r="AT407" s="31" t="str">
        <f>IF(AG407=1,DATE(YEAR(D407),MONTH(D407),1),"")</f>
        <v/>
      </c>
      <c r="AU407">
        <f>IF(AG407=0,0,IF(AND(OR('Prop challenge'!$D$7="",F407='Prop challenge'!$D$7),OR('Prop challenge'!$D$9="",D407&gt;='Prop challenge'!$D$9)),1,0))</f>
        <v>0</v>
      </c>
      <c r="AV407">
        <f>IF(AU407=1,IF(COUNTIFS($D$5:D407,D407,$AU$5:AU407,1)=1,1,0),0)</f>
        <v>0</v>
      </c>
      <c r="AW407" t="str">
        <f>IF(AV407=1,SUM($AV$5:AV407),"")</f>
        <v/>
      </c>
      <c r="AX407" t="str">
        <f>IF(AV407=1,SUMIFS($R$5:$R$504,$D$5:$D$504,D407,$AU$5:$AU$504,1),"")</f>
        <v/>
      </c>
    </row>
    <row r="408">
      <c r="A408" s="20" t="str">
        <f>IF(AG408=1,ROW()-4,"")</f>
        <v/>
      </c>
      <c r="B408" s="21" t="n"/>
      <c r="C408" s="22" t="n"/>
      <c r="D408" s="21" t="n"/>
      <c r="E408" s="22" t="n"/>
      <c r="F408" s="23" t="n"/>
      <c r="G408" s="23" t="n"/>
      <c r="H408" s="23" t="n"/>
      <c r="I408" s="24" t="n"/>
      <c r="J408" s="25" t="n"/>
      <c r="K408" s="25" t="n"/>
      <c r="L408" s="25" t="n"/>
      <c r="M408" s="25" t="n"/>
      <c r="N408" s="26" t="n"/>
      <c r="O408" s="26" t="n"/>
      <c r="P408" s="27" t="str">
        <f>IF(OR(J408="",K408="",I408="",AF408=0,AD408=""),"",(K408-J408)*AF408*I408*AD408*AE408)</f>
        <v/>
      </c>
      <c r="Q408" s="26" t="n"/>
      <c r="R408" s="28" t="str">
        <f>IF(Q408&lt;&gt;"",Q408,IF(P408="","",P408-N(N408)+N(O408)))</f>
        <v/>
      </c>
      <c r="S408" s="27" t="str">
        <f>IF(OR(L408="",J408="",I408="",AD408=""),"",ABS(J408-L408)*I408*AD408*AE408)</f>
        <v/>
      </c>
      <c r="T408" s="29" t="str">
        <f>IF(OR(R408="",S408="",S408=0),"",R408/S408)</f>
        <v/>
      </c>
      <c r="U408" s="20" t="str">
        <f>IF(R408="","",IF(R408&gt;0,"Ganadora",IF(R408&lt;0,"Perdedora","BE")))</f>
        <v/>
      </c>
      <c r="V408" s="23" t="n"/>
      <c r="W408" s="23" t="n"/>
      <c r="X408" s="23" t="n"/>
      <c r="Y408" s="23" t="n"/>
      <c r="Z408" s="23" t="n"/>
      <c r="AA408" s="23" t="n"/>
      <c r="AB408" s="30" t="n"/>
      <c r="AC408" s="1" t="n"/>
      <c r="AD408" s="1" t="str">
        <f>IF(G408="","",IFERROR(INDEX('Listas'!$N$6:$N$35,MATCH(G408,'Listas'!$M$6:$M$35,0)),""))</f>
        <v/>
      </c>
      <c r="AE408">
        <f>IF(G408="",1,IFERROR(INDEX('Listas'!$P$6:$P$35,MATCH(G408,'Listas'!$M$6:$M$35,0)),1))</f>
        <v>1</v>
      </c>
      <c r="AF408">
        <f>IF(H408="Compra",1,IF(H408="Venta",-1,0))</f>
        <v>0</v>
      </c>
      <c r="AG408">
        <f>IF(AND(D408&lt;&gt;"",ISNUMBER(R408)),1,0)</f>
        <v>0</v>
      </c>
      <c r="AH408">
        <f>IF(AG408=0,0,IF(OR('Panel'!$D$5="Todas las cuentas",'Panel'!$D$5="",F408='Panel'!$D$5),1,0))</f>
        <v>0</v>
      </c>
      <c r="AI408">
        <f>IF(AH408=0,0,IF(AND(OR('Panel'!$G$5="",D408&gt;='Panel'!$G$5),OR('Panel'!$J$5="",D408&lt;='Panel'!$J$5)),1,0))</f>
        <v>0</v>
      </c>
      <c r="AJ408">
        <f>IF(AI408=1,R408,0)</f>
        <v>0</v>
      </c>
      <c r="AK408" t="str">
        <f>IF(AI408=1,'Panel'!$AB$4+SUM($AJ$5:AJ408),"")</f>
        <v/>
      </c>
      <c r="AL408">
        <f>IF(AI408=0,N(AL407),IF(R408&lt;0,N(AL407)+1,0))</f>
        <v>1</v>
      </c>
      <c r="AM408">
        <f>IF(AI408=0,N(AM407),IF(R408&gt;0,N(AM407)+1,0))</f>
        <v>0</v>
      </c>
      <c r="AN408">
        <f>IF(AI408=1,MAX('Panel'!$AB$4,N(AN407),AK408),N(AN407))</f>
        <v>21371.061500000033</v>
      </c>
      <c r="AO408">
        <f>IF(AI408=1,AN408-AK408,0)</f>
        <v>0</v>
      </c>
      <c r="AP408">
        <f>IF(AND(AI408=1,AN408&gt;0),AO408/AN408,0)</f>
        <v>0</v>
      </c>
      <c r="AQ408" t="str">
        <f>IF(AI408=1,SUM($AI$5:AI408),"")</f>
        <v/>
      </c>
      <c r="AR408" t="str">
        <f>IF(AI408=1,IF(COUNTIFS($D$5:D408,D408,$AI$5:AI408,1)=1,SUMIFS($AJ$5:$AJ$504,$D$5:$D$504,D408),""),"")</f>
        <v/>
      </c>
      <c r="AS408" t="str">
        <f>IF(AG408=1,WEEKDAY(D408,2),"")</f>
        <v/>
      </c>
      <c r="AT408" s="31" t="str">
        <f>IF(AG408=1,DATE(YEAR(D408),MONTH(D408),1),"")</f>
        <v/>
      </c>
      <c r="AU408">
        <f>IF(AG408=0,0,IF(AND(OR('Prop challenge'!$D$7="",F408='Prop challenge'!$D$7),OR('Prop challenge'!$D$9="",D408&gt;='Prop challenge'!$D$9)),1,0))</f>
        <v>0</v>
      </c>
      <c r="AV408">
        <f>IF(AU408=1,IF(COUNTIFS($D$5:D408,D408,$AU$5:AU408,1)=1,1,0),0)</f>
        <v>0</v>
      </c>
      <c r="AW408" t="str">
        <f>IF(AV408=1,SUM($AV$5:AV408),"")</f>
        <v/>
      </c>
      <c r="AX408" t="str">
        <f>IF(AV408=1,SUMIFS($R$5:$R$504,$D$5:$D$504,D408,$AU$5:$AU$504,1),"")</f>
        <v/>
      </c>
    </row>
    <row r="409">
      <c r="A409" s="20" t="str">
        <f>IF(AG409=1,ROW()-4,"")</f>
        <v/>
      </c>
      <c r="B409" s="21" t="n"/>
      <c r="C409" s="22" t="n"/>
      <c r="D409" s="21" t="n"/>
      <c r="E409" s="22" t="n"/>
      <c r="F409" s="23" t="n"/>
      <c r="G409" s="23" t="n"/>
      <c r="H409" s="23" t="n"/>
      <c r="I409" s="24" t="n"/>
      <c r="J409" s="25" t="n"/>
      <c r="K409" s="25" t="n"/>
      <c r="L409" s="25" t="n"/>
      <c r="M409" s="25" t="n"/>
      <c r="N409" s="26" t="n"/>
      <c r="O409" s="26" t="n"/>
      <c r="P409" s="27" t="str">
        <f>IF(OR(J409="",K409="",I409="",AF409=0,AD409=""),"",(K409-J409)*AF409*I409*AD409*AE409)</f>
        <v/>
      </c>
      <c r="Q409" s="26" t="n"/>
      <c r="R409" s="28" t="str">
        <f>IF(Q409&lt;&gt;"",Q409,IF(P409="","",P409-N(N409)+N(O409)))</f>
        <v/>
      </c>
      <c r="S409" s="27" t="str">
        <f>IF(OR(L409="",J409="",I409="",AD409=""),"",ABS(J409-L409)*I409*AD409*AE409)</f>
        <v/>
      </c>
      <c r="T409" s="29" t="str">
        <f>IF(OR(R409="",S409="",S409=0),"",R409/S409)</f>
        <v/>
      </c>
      <c r="U409" s="20" t="str">
        <f>IF(R409="","",IF(R409&gt;0,"Ganadora",IF(R409&lt;0,"Perdedora","BE")))</f>
        <v/>
      </c>
      <c r="V409" s="23" t="n"/>
      <c r="W409" s="23" t="n"/>
      <c r="X409" s="23" t="n"/>
      <c r="Y409" s="23" t="n"/>
      <c r="Z409" s="23" t="n"/>
      <c r="AA409" s="23" t="n"/>
      <c r="AB409" s="30" t="n"/>
      <c r="AC409" s="1" t="n"/>
      <c r="AD409" s="1" t="str">
        <f>IF(G409="","",IFERROR(INDEX('Listas'!$N$6:$N$35,MATCH(G409,'Listas'!$M$6:$M$35,0)),""))</f>
        <v/>
      </c>
      <c r="AE409">
        <f>IF(G409="",1,IFERROR(INDEX('Listas'!$P$6:$P$35,MATCH(G409,'Listas'!$M$6:$M$35,0)),1))</f>
        <v>1</v>
      </c>
      <c r="AF409">
        <f>IF(H409="Compra",1,IF(H409="Venta",-1,0))</f>
        <v>0</v>
      </c>
      <c r="AG409">
        <f>IF(AND(D409&lt;&gt;"",ISNUMBER(R409)),1,0)</f>
        <v>0</v>
      </c>
      <c r="AH409">
        <f>IF(AG409=0,0,IF(OR('Panel'!$D$5="Todas las cuentas",'Panel'!$D$5="",F409='Panel'!$D$5),1,0))</f>
        <v>0</v>
      </c>
      <c r="AI409">
        <f>IF(AH409=0,0,IF(AND(OR('Panel'!$G$5="",D409&gt;='Panel'!$G$5),OR('Panel'!$J$5="",D409&lt;='Panel'!$J$5)),1,0))</f>
        <v>0</v>
      </c>
      <c r="AJ409">
        <f>IF(AI409=1,R409,0)</f>
        <v>0</v>
      </c>
      <c r="AK409" t="str">
        <f>IF(AI409=1,'Panel'!$AB$4+SUM($AJ$5:AJ409),"")</f>
        <v/>
      </c>
      <c r="AL409">
        <f>IF(AI409=0,N(AL408),IF(R409&lt;0,N(AL408)+1,0))</f>
        <v>1</v>
      </c>
      <c r="AM409">
        <f>IF(AI409=0,N(AM408),IF(R409&gt;0,N(AM408)+1,0))</f>
        <v>0</v>
      </c>
      <c r="AN409">
        <f>IF(AI409=1,MAX('Panel'!$AB$4,N(AN408),AK409),N(AN408))</f>
        <v>21371.061500000033</v>
      </c>
      <c r="AO409">
        <f>IF(AI409=1,AN409-AK409,0)</f>
        <v>0</v>
      </c>
      <c r="AP409">
        <f>IF(AND(AI409=1,AN409&gt;0),AO409/AN409,0)</f>
        <v>0</v>
      </c>
      <c r="AQ409" t="str">
        <f>IF(AI409=1,SUM($AI$5:AI409),"")</f>
        <v/>
      </c>
      <c r="AR409" t="str">
        <f>IF(AI409=1,IF(COUNTIFS($D$5:D409,D409,$AI$5:AI409,1)=1,SUMIFS($AJ$5:$AJ$504,$D$5:$D$504,D409),""),"")</f>
        <v/>
      </c>
      <c r="AS409" t="str">
        <f>IF(AG409=1,WEEKDAY(D409,2),"")</f>
        <v/>
      </c>
      <c r="AT409" s="31" t="str">
        <f>IF(AG409=1,DATE(YEAR(D409),MONTH(D409),1),"")</f>
        <v/>
      </c>
      <c r="AU409">
        <f>IF(AG409=0,0,IF(AND(OR('Prop challenge'!$D$7="",F409='Prop challenge'!$D$7),OR('Prop challenge'!$D$9="",D409&gt;='Prop challenge'!$D$9)),1,0))</f>
        <v>0</v>
      </c>
      <c r="AV409">
        <f>IF(AU409=1,IF(COUNTIFS($D$5:D409,D409,$AU$5:AU409,1)=1,1,0),0)</f>
        <v>0</v>
      </c>
      <c r="AW409" t="str">
        <f>IF(AV409=1,SUM($AV$5:AV409),"")</f>
        <v/>
      </c>
      <c r="AX409" t="str">
        <f>IF(AV409=1,SUMIFS($R$5:$R$504,$D$5:$D$504,D409,$AU$5:$AU$504,1),"")</f>
        <v/>
      </c>
    </row>
    <row r="410">
      <c r="A410" s="20" t="str">
        <f>IF(AG410=1,ROW()-4,"")</f>
        <v/>
      </c>
      <c r="B410" s="21" t="n"/>
      <c r="C410" s="22" t="n"/>
      <c r="D410" s="21" t="n"/>
      <c r="E410" s="22" t="n"/>
      <c r="F410" s="23" t="n"/>
      <c r="G410" s="23" t="n"/>
      <c r="H410" s="23" t="n"/>
      <c r="I410" s="24" t="n"/>
      <c r="J410" s="25" t="n"/>
      <c r="K410" s="25" t="n"/>
      <c r="L410" s="25" t="n"/>
      <c r="M410" s="25" t="n"/>
      <c r="N410" s="26" t="n"/>
      <c r="O410" s="26" t="n"/>
      <c r="P410" s="27" t="str">
        <f>IF(OR(J410="",K410="",I410="",AF410=0,AD410=""),"",(K410-J410)*AF410*I410*AD410*AE410)</f>
        <v/>
      </c>
      <c r="Q410" s="26" t="n"/>
      <c r="R410" s="28" t="str">
        <f>IF(Q410&lt;&gt;"",Q410,IF(P410="","",P410-N(N410)+N(O410)))</f>
        <v/>
      </c>
      <c r="S410" s="27" t="str">
        <f>IF(OR(L410="",J410="",I410="",AD410=""),"",ABS(J410-L410)*I410*AD410*AE410)</f>
        <v/>
      </c>
      <c r="T410" s="29" t="str">
        <f>IF(OR(R410="",S410="",S410=0),"",R410/S410)</f>
        <v/>
      </c>
      <c r="U410" s="20" t="str">
        <f>IF(R410="","",IF(R410&gt;0,"Ganadora",IF(R410&lt;0,"Perdedora","BE")))</f>
        <v/>
      </c>
      <c r="V410" s="23" t="n"/>
      <c r="W410" s="23" t="n"/>
      <c r="X410" s="23" t="n"/>
      <c r="Y410" s="23" t="n"/>
      <c r="Z410" s="23" t="n"/>
      <c r="AA410" s="23" t="n"/>
      <c r="AB410" s="30" t="n"/>
      <c r="AC410" s="1" t="n"/>
      <c r="AD410" s="1" t="str">
        <f>IF(G410="","",IFERROR(INDEX('Listas'!$N$6:$N$35,MATCH(G410,'Listas'!$M$6:$M$35,0)),""))</f>
        <v/>
      </c>
      <c r="AE410">
        <f>IF(G410="",1,IFERROR(INDEX('Listas'!$P$6:$P$35,MATCH(G410,'Listas'!$M$6:$M$35,0)),1))</f>
        <v>1</v>
      </c>
      <c r="AF410">
        <f>IF(H410="Compra",1,IF(H410="Venta",-1,0))</f>
        <v>0</v>
      </c>
      <c r="AG410">
        <f>IF(AND(D410&lt;&gt;"",ISNUMBER(R410)),1,0)</f>
        <v>0</v>
      </c>
      <c r="AH410">
        <f>IF(AG410=0,0,IF(OR('Panel'!$D$5="Todas las cuentas",'Panel'!$D$5="",F410='Panel'!$D$5),1,0))</f>
        <v>0</v>
      </c>
      <c r="AI410">
        <f>IF(AH410=0,0,IF(AND(OR('Panel'!$G$5="",D410&gt;='Panel'!$G$5),OR('Panel'!$J$5="",D410&lt;='Panel'!$J$5)),1,0))</f>
        <v>0</v>
      </c>
      <c r="AJ410">
        <f>IF(AI410=1,R410,0)</f>
        <v>0</v>
      </c>
      <c r="AK410" t="str">
        <f>IF(AI410=1,'Panel'!$AB$4+SUM($AJ$5:AJ410),"")</f>
        <v/>
      </c>
      <c r="AL410">
        <f>IF(AI410=0,N(AL409),IF(R410&lt;0,N(AL409)+1,0))</f>
        <v>1</v>
      </c>
      <c r="AM410">
        <f>IF(AI410=0,N(AM409),IF(R410&gt;0,N(AM409)+1,0))</f>
        <v>0</v>
      </c>
      <c r="AN410">
        <f>IF(AI410=1,MAX('Panel'!$AB$4,N(AN409),AK410),N(AN409))</f>
        <v>21371.061500000033</v>
      </c>
      <c r="AO410">
        <f>IF(AI410=1,AN410-AK410,0)</f>
        <v>0</v>
      </c>
      <c r="AP410">
        <f>IF(AND(AI410=1,AN410&gt;0),AO410/AN410,0)</f>
        <v>0</v>
      </c>
      <c r="AQ410" t="str">
        <f>IF(AI410=1,SUM($AI$5:AI410),"")</f>
        <v/>
      </c>
      <c r="AR410" t="str">
        <f>IF(AI410=1,IF(COUNTIFS($D$5:D410,D410,$AI$5:AI410,1)=1,SUMIFS($AJ$5:$AJ$504,$D$5:$D$504,D410),""),"")</f>
        <v/>
      </c>
      <c r="AS410" t="str">
        <f>IF(AG410=1,WEEKDAY(D410,2),"")</f>
        <v/>
      </c>
      <c r="AT410" s="31" t="str">
        <f>IF(AG410=1,DATE(YEAR(D410),MONTH(D410),1),"")</f>
        <v/>
      </c>
      <c r="AU410">
        <f>IF(AG410=0,0,IF(AND(OR('Prop challenge'!$D$7="",F410='Prop challenge'!$D$7),OR('Prop challenge'!$D$9="",D410&gt;='Prop challenge'!$D$9)),1,0))</f>
        <v>0</v>
      </c>
      <c r="AV410">
        <f>IF(AU410=1,IF(COUNTIFS($D$5:D410,D410,$AU$5:AU410,1)=1,1,0),0)</f>
        <v>0</v>
      </c>
      <c r="AW410" t="str">
        <f>IF(AV410=1,SUM($AV$5:AV410),"")</f>
        <v/>
      </c>
      <c r="AX410" t="str">
        <f>IF(AV410=1,SUMIFS($R$5:$R$504,$D$5:$D$504,D410,$AU$5:$AU$504,1),"")</f>
        <v/>
      </c>
    </row>
    <row r="411">
      <c r="A411" s="20" t="str">
        <f>IF(AG411=1,ROW()-4,"")</f>
        <v/>
      </c>
      <c r="B411" s="21" t="n"/>
      <c r="C411" s="22" t="n"/>
      <c r="D411" s="21" t="n"/>
      <c r="E411" s="22" t="n"/>
      <c r="F411" s="23" t="n"/>
      <c r="G411" s="23" t="n"/>
      <c r="H411" s="23" t="n"/>
      <c r="I411" s="24" t="n"/>
      <c r="J411" s="25" t="n"/>
      <c r="K411" s="25" t="n"/>
      <c r="L411" s="25" t="n"/>
      <c r="M411" s="25" t="n"/>
      <c r="N411" s="26" t="n"/>
      <c r="O411" s="26" t="n"/>
      <c r="P411" s="27" t="str">
        <f>IF(OR(J411="",K411="",I411="",AF411=0,AD411=""),"",(K411-J411)*AF411*I411*AD411*AE411)</f>
        <v/>
      </c>
      <c r="Q411" s="26" t="n"/>
      <c r="R411" s="28" t="str">
        <f>IF(Q411&lt;&gt;"",Q411,IF(P411="","",P411-N(N411)+N(O411)))</f>
        <v/>
      </c>
      <c r="S411" s="27" t="str">
        <f>IF(OR(L411="",J411="",I411="",AD411=""),"",ABS(J411-L411)*I411*AD411*AE411)</f>
        <v/>
      </c>
      <c r="T411" s="29" t="str">
        <f>IF(OR(R411="",S411="",S411=0),"",R411/S411)</f>
        <v/>
      </c>
      <c r="U411" s="20" t="str">
        <f>IF(R411="","",IF(R411&gt;0,"Ganadora",IF(R411&lt;0,"Perdedora","BE")))</f>
        <v/>
      </c>
      <c r="V411" s="23" t="n"/>
      <c r="W411" s="23" t="n"/>
      <c r="X411" s="23" t="n"/>
      <c r="Y411" s="23" t="n"/>
      <c r="Z411" s="23" t="n"/>
      <c r="AA411" s="23" t="n"/>
      <c r="AB411" s="30" t="n"/>
      <c r="AC411" s="1" t="n"/>
      <c r="AD411" s="1" t="str">
        <f>IF(G411="","",IFERROR(INDEX('Listas'!$N$6:$N$35,MATCH(G411,'Listas'!$M$6:$M$35,0)),""))</f>
        <v/>
      </c>
      <c r="AE411">
        <f>IF(G411="",1,IFERROR(INDEX('Listas'!$P$6:$P$35,MATCH(G411,'Listas'!$M$6:$M$35,0)),1))</f>
        <v>1</v>
      </c>
      <c r="AF411">
        <f>IF(H411="Compra",1,IF(H411="Venta",-1,0))</f>
        <v>0</v>
      </c>
      <c r="AG411">
        <f>IF(AND(D411&lt;&gt;"",ISNUMBER(R411)),1,0)</f>
        <v>0</v>
      </c>
      <c r="AH411">
        <f>IF(AG411=0,0,IF(OR('Panel'!$D$5="Todas las cuentas",'Panel'!$D$5="",F411='Panel'!$D$5),1,0))</f>
        <v>0</v>
      </c>
      <c r="AI411">
        <f>IF(AH411=0,0,IF(AND(OR('Panel'!$G$5="",D411&gt;='Panel'!$G$5),OR('Panel'!$J$5="",D411&lt;='Panel'!$J$5)),1,0))</f>
        <v>0</v>
      </c>
      <c r="AJ411">
        <f>IF(AI411=1,R411,0)</f>
        <v>0</v>
      </c>
      <c r="AK411" t="str">
        <f>IF(AI411=1,'Panel'!$AB$4+SUM($AJ$5:AJ411),"")</f>
        <v/>
      </c>
      <c r="AL411">
        <f>IF(AI411=0,N(AL410),IF(R411&lt;0,N(AL410)+1,0))</f>
        <v>1</v>
      </c>
      <c r="AM411">
        <f>IF(AI411=0,N(AM410),IF(R411&gt;0,N(AM410)+1,0))</f>
        <v>0</v>
      </c>
      <c r="AN411">
        <f>IF(AI411=1,MAX('Panel'!$AB$4,N(AN410),AK411),N(AN410))</f>
        <v>21371.061500000033</v>
      </c>
      <c r="AO411">
        <f>IF(AI411=1,AN411-AK411,0)</f>
        <v>0</v>
      </c>
      <c r="AP411">
        <f>IF(AND(AI411=1,AN411&gt;0),AO411/AN411,0)</f>
        <v>0</v>
      </c>
      <c r="AQ411" t="str">
        <f>IF(AI411=1,SUM($AI$5:AI411),"")</f>
        <v/>
      </c>
      <c r="AR411" t="str">
        <f>IF(AI411=1,IF(COUNTIFS($D$5:D411,D411,$AI$5:AI411,1)=1,SUMIFS($AJ$5:$AJ$504,$D$5:$D$504,D411),""),"")</f>
        <v/>
      </c>
      <c r="AS411" t="str">
        <f>IF(AG411=1,WEEKDAY(D411,2),"")</f>
        <v/>
      </c>
      <c r="AT411" s="31" t="str">
        <f>IF(AG411=1,DATE(YEAR(D411),MONTH(D411),1),"")</f>
        <v/>
      </c>
      <c r="AU411">
        <f>IF(AG411=0,0,IF(AND(OR('Prop challenge'!$D$7="",F411='Prop challenge'!$D$7),OR('Prop challenge'!$D$9="",D411&gt;='Prop challenge'!$D$9)),1,0))</f>
        <v>0</v>
      </c>
      <c r="AV411">
        <f>IF(AU411=1,IF(COUNTIFS($D$5:D411,D411,$AU$5:AU411,1)=1,1,0),0)</f>
        <v>0</v>
      </c>
      <c r="AW411" t="str">
        <f>IF(AV411=1,SUM($AV$5:AV411),"")</f>
        <v/>
      </c>
      <c r="AX411" t="str">
        <f>IF(AV411=1,SUMIFS($R$5:$R$504,$D$5:$D$504,D411,$AU$5:$AU$504,1),"")</f>
        <v/>
      </c>
    </row>
    <row r="412">
      <c r="A412" s="20" t="str">
        <f>IF(AG412=1,ROW()-4,"")</f>
        <v/>
      </c>
      <c r="B412" s="21" t="n"/>
      <c r="C412" s="22" t="n"/>
      <c r="D412" s="21" t="n"/>
      <c r="E412" s="22" t="n"/>
      <c r="F412" s="23" t="n"/>
      <c r="G412" s="23" t="n"/>
      <c r="H412" s="23" t="n"/>
      <c r="I412" s="24" t="n"/>
      <c r="J412" s="25" t="n"/>
      <c r="K412" s="25" t="n"/>
      <c r="L412" s="25" t="n"/>
      <c r="M412" s="25" t="n"/>
      <c r="N412" s="26" t="n"/>
      <c r="O412" s="26" t="n"/>
      <c r="P412" s="27" t="str">
        <f>IF(OR(J412="",K412="",I412="",AF412=0,AD412=""),"",(K412-J412)*AF412*I412*AD412*AE412)</f>
        <v/>
      </c>
      <c r="Q412" s="26" t="n"/>
      <c r="R412" s="28" t="str">
        <f>IF(Q412&lt;&gt;"",Q412,IF(P412="","",P412-N(N412)+N(O412)))</f>
        <v/>
      </c>
      <c r="S412" s="27" t="str">
        <f>IF(OR(L412="",J412="",I412="",AD412=""),"",ABS(J412-L412)*I412*AD412*AE412)</f>
        <v/>
      </c>
      <c r="T412" s="29" t="str">
        <f>IF(OR(R412="",S412="",S412=0),"",R412/S412)</f>
        <v/>
      </c>
      <c r="U412" s="20" t="str">
        <f>IF(R412="","",IF(R412&gt;0,"Ganadora",IF(R412&lt;0,"Perdedora","BE")))</f>
        <v/>
      </c>
      <c r="V412" s="23" t="n"/>
      <c r="W412" s="23" t="n"/>
      <c r="X412" s="23" t="n"/>
      <c r="Y412" s="23" t="n"/>
      <c r="Z412" s="23" t="n"/>
      <c r="AA412" s="23" t="n"/>
      <c r="AB412" s="30" t="n"/>
      <c r="AC412" s="1" t="n"/>
      <c r="AD412" s="1" t="str">
        <f>IF(G412="","",IFERROR(INDEX('Listas'!$N$6:$N$35,MATCH(G412,'Listas'!$M$6:$M$35,0)),""))</f>
        <v/>
      </c>
      <c r="AE412">
        <f>IF(G412="",1,IFERROR(INDEX('Listas'!$P$6:$P$35,MATCH(G412,'Listas'!$M$6:$M$35,0)),1))</f>
        <v>1</v>
      </c>
      <c r="AF412">
        <f>IF(H412="Compra",1,IF(H412="Venta",-1,0))</f>
        <v>0</v>
      </c>
      <c r="AG412">
        <f>IF(AND(D412&lt;&gt;"",ISNUMBER(R412)),1,0)</f>
        <v>0</v>
      </c>
      <c r="AH412">
        <f>IF(AG412=0,0,IF(OR('Panel'!$D$5="Todas las cuentas",'Panel'!$D$5="",F412='Panel'!$D$5),1,0))</f>
        <v>0</v>
      </c>
      <c r="AI412">
        <f>IF(AH412=0,0,IF(AND(OR('Panel'!$G$5="",D412&gt;='Panel'!$G$5),OR('Panel'!$J$5="",D412&lt;='Panel'!$J$5)),1,0))</f>
        <v>0</v>
      </c>
      <c r="AJ412">
        <f>IF(AI412=1,R412,0)</f>
        <v>0</v>
      </c>
      <c r="AK412" t="str">
        <f>IF(AI412=1,'Panel'!$AB$4+SUM($AJ$5:AJ412),"")</f>
        <v/>
      </c>
      <c r="AL412">
        <f>IF(AI412=0,N(AL411),IF(R412&lt;0,N(AL411)+1,0))</f>
        <v>1</v>
      </c>
      <c r="AM412">
        <f>IF(AI412=0,N(AM411),IF(R412&gt;0,N(AM411)+1,0))</f>
        <v>0</v>
      </c>
      <c r="AN412">
        <f>IF(AI412=1,MAX('Panel'!$AB$4,N(AN411),AK412),N(AN411))</f>
        <v>21371.061500000033</v>
      </c>
      <c r="AO412">
        <f>IF(AI412=1,AN412-AK412,0)</f>
        <v>0</v>
      </c>
      <c r="AP412">
        <f>IF(AND(AI412=1,AN412&gt;0),AO412/AN412,0)</f>
        <v>0</v>
      </c>
      <c r="AQ412" t="str">
        <f>IF(AI412=1,SUM($AI$5:AI412),"")</f>
        <v/>
      </c>
      <c r="AR412" t="str">
        <f>IF(AI412=1,IF(COUNTIFS($D$5:D412,D412,$AI$5:AI412,1)=1,SUMIFS($AJ$5:$AJ$504,$D$5:$D$504,D412),""),"")</f>
        <v/>
      </c>
      <c r="AS412" t="str">
        <f>IF(AG412=1,WEEKDAY(D412,2),"")</f>
        <v/>
      </c>
      <c r="AT412" s="31" t="str">
        <f>IF(AG412=1,DATE(YEAR(D412),MONTH(D412),1),"")</f>
        <v/>
      </c>
      <c r="AU412">
        <f>IF(AG412=0,0,IF(AND(OR('Prop challenge'!$D$7="",F412='Prop challenge'!$D$7),OR('Prop challenge'!$D$9="",D412&gt;='Prop challenge'!$D$9)),1,0))</f>
        <v>0</v>
      </c>
      <c r="AV412">
        <f>IF(AU412=1,IF(COUNTIFS($D$5:D412,D412,$AU$5:AU412,1)=1,1,0),0)</f>
        <v>0</v>
      </c>
      <c r="AW412" t="str">
        <f>IF(AV412=1,SUM($AV$5:AV412),"")</f>
        <v/>
      </c>
      <c r="AX412" t="str">
        <f>IF(AV412=1,SUMIFS($R$5:$R$504,$D$5:$D$504,D412,$AU$5:$AU$504,1),"")</f>
        <v/>
      </c>
    </row>
    <row r="413">
      <c r="A413" s="20" t="str">
        <f>IF(AG413=1,ROW()-4,"")</f>
        <v/>
      </c>
      <c r="B413" s="21" t="n"/>
      <c r="C413" s="22" t="n"/>
      <c r="D413" s="21" t="n"/>
      <c r="E413" s="22" t="n"/>
      <c r="F413" s="23" t="n"/>
      <c r="G413" s="23" t="n"/>
      <c r="H413" s="23" t="n"/>
      <c r="I413" s="24" t="n"/>
      <c r="J413" s="25" t="n"/>
      <c r="K413" s="25" t="n"/>
      <c r="L413" s="25" t="n"/>
      <c r="M413" s="25" t="n"/>
      <c r="N413" s="26" t="n"/>
      <c r="O413" s="26" t="n"/>
      <c r="P413" s="27" t="str">
        <f>IF(OR(J413="",K413="",I413="",AF413=0,AD413=""),"",(K413-J413)*AF413*I413*AD413*AE413)</f>
        <v/>
      </c>
      <c r="Q413" s="26" t="n"/>
      <c r="R413" s="28" t="str">
        <f>IF(Q413&lt;&gt;"",Q413,IF(P413="","",P413-N(N413)+N(O413)))</f>
        <v/>
      </c>
      <c r="S413" s="27" t="str">
        <f>IF(OR(L413="",J413="",I413="",AD413=""),"",ABS(J413-L413)*I413*AD413*AE413)</f>
        <v/>
      </c>
      <c r="T413" s="29" t="str">
        <f>IF(OR(R413="",S413="",S413=0),"",R413/S413)</f>
        <v/>
      </c>
      <c r="U413" s="20" t="str">
        <f>IF(R413="","",IF(R413&gt;0,"Ganadora",IF(R413&lt;0,"Perdedora","BE")))</f>
        <v/>
      </c>
      <c r="V413" s="23" t="n"/>
      <c r="W413" s="23" t="n"/>
      <c r="X413" s="23" t="n"/>
      <c r="Y413" s="23" t="n"/>
      <c r="Z413" s="23" t="n"/>
      <c r="AA413" s="23" t="n"/>
      <c r="AB413" s="30" t="n"/>
      <c r="AC413" s="1" t="n"/>
      <c r="AD413" s="1" t="str">
        <f>IF(G413="","",IFERROR(INDEX('Listas'!$N$6:$N$35,MATCH(G413,'Listas'!$M$6:$M$35,0)),""))</f>
        <v/>
      </c>
      <c r="AE413">
        <f>IF(G413="",1,IFERROR(INDEX('Listas'!$P$6:$P$35,MATCH(G413,'Listas'!$M$6:$M$35,0)),1))</f>
        <v>1</v>
      </c>
      <c r="AF413">
        <f>IF(H413="Compra",1,IF(H413="Venta",-1,0))</f>
        <v>0</v>
      </c>
      <c r="AG413">
        <f>IF(AND(D413&lt;&gt;"",ISNUMBER(R413)),1,0)</f>
        <v>0</v>
      </c>
      <c r="AH413">
        <f>IF(AG413=0,0,IF(OR('Panel'!$D$5="Todas las cuentas",'Panel'!$D$5="",F413='Panel'!$D$5),1,0))</f>
        <v>0</v>
      </c>
      <c r="AI413">
        <f>IF(AH413=0,0,IF(AND(OR('Panel'!$G$5="",D413&gt;='Panel'!$G$5),OR('Panel'!$J$5="",D413&lt;='Panel'!$J$5)),1,0))</f>
        <v>0</v>
      </c>
      <c r="AJ413">
        <f>IF(AI413=1,R413,0)</f>
        <v>0</v>
      </c>
      <c r="AK413" t="str">
        <f>IF(AI413=1,'Panel'!$AB$4+SUM($AJ$5:AJ413),"")</f>
        <v/>
      </c>
      <c r="AL413">
        <f>IF(AI413=0,N(AL412),IF(R413&lt;0,N(AL412)+1,0))</f>
        <v>1</v>
      </c>
      <c r="AM413">
        <f>IF(AI413=0,N(AM412),IF(R413&gt;0,N(AM412)+1,0))</f>
        <v>0</v>
      </c>
      <c r="AN413">
        <f>IF(AI413=1,MAX('Panel'!$AB$4,N(AN412),AK413),N(AN412))</f>
        <v>21371.061500000033</v>
      </c>
      <c r="AO413">
        <f>IF(AI413=1,AN413-AK413,0)</f>
        <v>0</v>
      </c>
      <c r="AP413">
        <f>IF(AND(AI413=1,AN413&gt;0),AO413/AN413,0)</f>
        <v>0</v>
      </c>
      <c r="AQ413" t="str">
        <f>IF(AI413=1,SUM($AI$5:AI413),"")</f>
        <v/>
      </c>
      <c r="AR413" t="str">
        <f>IF(AI413=1,IF(COUNTIFS($D$5:D413,D413,$AI$5:AI413,1)=1,SUMIFS($AJ$5:$AJ$504,$D$5:$D$504,D413),""),"")</f>
        <v/>
      </c>
      <c r="AS413" t="str">
        <f>IF(AG413=1,WEEKDAY(D413,2),"")</f>
        <v/>
      </c>
      <c r="AT413" s="31" t="str">
        <f>IF(AG413=1,DATE(YEAR(D413),MONTH(D413),1),"")</f>
        <v/>
      </c>
      <c r="AU413">
        <f>IF(AG413=0,0,IF(AND(OR('Prop challenge'!$D$7="",F413='Prop challenge'!$D$7),OR('Prop challenge'!$D$9="",D413&gt;='Prop challenge'!$D$9)),1,0))</f>
        <v>0</v>
      </c>
      <c r="AV413">
        <f>IF(AU413=1,IF(COUNTIFS($D$5:D413,D413,$AU$5:AU413,1)=1,1,0),0)</f>
        <v>0</v>
      </c>
      <c r="AW413" t="str">
        <f>IF(AV413=1,SUM($AV$5:AV413),"")</f>
        <v/>
      </c>
      <c r="AX413" t="str">
        <f>IF(AV413=1,SUMIFS($R$5:$R$504,$D$5:$D$504,D413,$AU$5:$AU$504,1),"")</f>
        <v/>
      </c>
    </row>
    <row r="414">
      <c r="A414" s="20" t="str">
        <f>IF(AG414=1,ROW()-4,"")</f>
        <v/>
      </c>
      <c r="B414" s="21" t="n"/>
      <c r="C414" s="22" t="n"/>
      <c r="D414" s="21" t="n"/>
      <c r="E414" s="22" t="n"/>
      <c r="F414" s="23" t="n"/>
      <c r="G414" s="23" t="n"/>
      <c r="H414" s="23" t="n"/>
      <c r="I414" s="24" t="n"/>
      <c r="J414" s="25" t="n"/>
      <c r="K414" s="25" t="n"/>
      <c r="L414" s="25" t="n"/>
      <c r="M414" s="25" t="n"/>
      <c r="N414" s="26" t="n"/>
      <c r="O414" s="26" t="n"/>
      <c r="P414" s="27" t="str">
        <f>IF(OR(J414="",K414="",I414="",AF414=0,AD414=""),"",(K414-J414)*AF414*I414*AD414*AE414)</f>
        <v/>
      </c>
      <c r="Q414" s="26" t="n"/>
      <c r="R414" s="28" t="str">
        <f>IF(Q414&lt;&gt;"",Q414,IF(P414="","",P414-N(N414)+N(O414)))</f>
        <v/>
      </c>
      <c r="S414" s="27" t="str">
        <f>IF(OR(L414="",J414="",I414="",AD414=""),"",ABS(J414-L414)*I414*AD414*AE414)</f>
        <v/>
      </c>
      <c r="T414" s="29" t="str">
        <f>IF(OR(R414="",S414="",S414=0),"",R414/S414)</f>
        <v/>
      </c>
      <c r="U414" s="20" t="str">
        <f>IF(R414="","",IF(R414&gt;0,"Ganadora",IF(R414&lt;0,"Perdedora","BE")))</f>
        <v/>
      </c>
      <c r="V414" s="23" t="n"/>
      <c r="W414" s="23" t="n"/>
      <c r="X414" s="23" t="n"/>
      <c r="Y414" s="23" t="n"/>
      <c r="Z414" s="23" t="n"/>
      <c r="AA414" s="23" t="n"/>
      <c r="AB414" s="30" t="n"/>
      <c r="AC414" s="1" t="n"/>
      <c r="AD414" s="1" t="str">
        <f>IF(G414="","",IFERROR(INDEX('Listas'!$N$6:$N$35,MATCH(G414,'Listas'!$M$6:$M$35,0)),""))</f>
        <v/>
      </c>
      <c r="AE414">
        <f>IF(G414="",1,IFERROR(INDEX('Listas'!$P$6:$P$35,MATCH(G414,'Listas'!$M$6:$M$35,0)),1))</f>
        <v>1</v>
      </c>
      <c r="AF414">
        <f>IF(H414="Compra",1,IF(H414="Venta",-1,0))</f>
        <v>0</v>
      </c>
      <c r="AG414">
        <f>IF(AND(D414&lt;&gt;"",ISNUMBER(R414)),1,0)</f>
        <v>0</v>
      </c>
      <c r="AH414">
        <f>IF(AG414=0,0,IF(OR('Panel'!$D$5="Todas las cuentas",'Panel'!$D$5="",F414='Panel'!$D$5),1,0))</f>
        <v>0</v>
      </c>
      <c r="AI414">
        <f>IF(AH414=0,0,IF(AND(OR('Panel'!$G$5="",D414&gt;='Panel'!$G$5),OR('Panel'!$J$5="",D414&lt;='Panel'!$J$5)),1,0))</f>
        <v>0</v>
      </c>
      <c r="AJ414">
        <f>IF(AI414=1,R414,0)</f>
        <v>0</v>
      </c>
      <c r="AK414" t="str">
        <f>IF(AI414=1,'Panel'!$AB$4+SUM($AJ$5:AJ414),"")</f>
        <v/>
      </c>
      <c r="AL414">
        <f>IF(AI414=0,N(AL413),IF(R414&lt;0,N(AL413)+1,0))</f>
        <v>1</v>
      </c>
      <c r="AM414">
        <f>IF(AI414=0,N(AM413),IF(R414&gt;0,N(AM413)+1,0))</f>
        <v>0</v>
      </c>
      <c r="AN414">
        <f>IF(AI414=1,MAX('Panel'!$AB$4,N(AN413),AK414),N(AN413))</f>
        <v>21371.061500000033</v>
      </c>
      <c r="AO414">
        <f>IF(AI414=1,AN414-AK414,0)</f>
        <v>0</v>
      </c>
      <c r="AP414">
        <f>IF(AND(AI414=1,AN414&gt;0),AO414/AN414,0)</f>
        <v>0</v>
      </c>
      <c r="AQ414" t="str">
        <f>IF(AI414=1,SUM($AI$5:AI414),"")</f>
        <v/>
      </c>
      <c r="AR414" t="str">
        <f>IF(AI414=1,IF(COUNTIFS($D$5:D414,D414,$AI$5:AI414,1)=1,SUMIFS($AJ$5:$AJ$504,$D$5:$D$504,D414),""),"")</f>
        <v/>
      </c>
      <c r="AS414" t="str">
        <f>IF(AG414=1,WEEKDAY(D414,2),"")</f>
        <v/>
      </c>
      <c r="AT414" s="31" t="str">
        <f>IF(AG414=1,DATE(YEAR(D414),MONTH(D414),1),"")</f>
        <v/>
      </c>
      <c r="AU414">
        <f>IF(AG414=0,0,IF(AND(OR('Prop challenge'!$D$7="",F414='Prop challenge'!$D$7),OR('Prop challenge'!$D$9="",D414&gt;='Prop challenge'!$D$9)),1,0))</f>
        <v>0</v>
      </c>
      <c r="AV414">
        <f>IF(AU414=1,IF(COUNTIFS($D$5:D414,D414,$AU$5:AU414,1)=1,1,0),0)</f>
        <v>0</v>
      </c>
      <c r="AW414" t="str">
        <f>IF(AV414=1,SUM($AV$5:AV414),"")</f>
        <v/>
      </c>
      <c r="AX414" t="str">
        <f>IF(AV414=1,SUMIFS($R$5:$R$504,$D$5:$D$504,D414,$AU$5:$AU$504,1),"")</f>
        <v/>
      </c>
    </row>
    <row r="415">
      <c r="A415" s="20" t="str">
        <f>IF(AG415=1,ROW()-4,"")</f>
        <v/>
      </c>
      <c r="B415" s="21" t="n"/>
      <c r="C415" s="22" t="n"/>
      <c r="D415" s="21" t="n"/>
      <c r="E415" s="22" t="n"/>
      <c r="F415" s="23" t="n"/>
      <c r="G415" s="23" t="n"/>
      <c r="H415" s="23" t="n"/>
      <c r="I415" s="24" t="n"/>
      <c r="J415" s="25" t="n"/>
      <c r="K415" s="25" t="n"/>
      <c r="L415" s="25" t="n"/>
      <c r="M415" s="25" t="n"/>
      <c r="N415" s="26" t="n"/>
      <c r="O415" s="26" t="n"/>
      <c r="P415" s="27" t="str">
        <f>IF(OR(J415="",K415="",I415="",AF415=0,AD415=""),"",(K415-J415)*AF415*I415*AD415*AE415)</f>
        <v/>
      </c>
      <c r="Q415" s="26" t="n"/>
      <c r="R415" s="28" t="str">
        <f>IF(Q415&lt;&gt;"",Q415,IF(P415="","",P415-N(N415)+N(O415)))</f>
        <v/>
      </c>
      <c r="S415" s="27" t="str">
        <f>IF(OR(L415="",J415="",I415="",AD415=""),"",ABS(J415-L415)*I415*AD415*AE415)</f>
        <v/>
      </c>
      <c r="T415" s="29" t="str">
        <f>IF(OR(R415="",S415="",S415=0),"",R415/S415)</f>
        <v/>
      </c>
      <c r="U415" s="20" t="str">
        <f>IF(R415="","",IF(R415&gt;0,"Ganadora",IF(R415&lt;0,"Perdedora","BE")))</f>
        <v/>
      </c>
      <c r="V415" s="23" t="n"/>
      <c r="W415" s="23" t="n"/>
      <c r="X415" s="23" t="n"/>
      <c r="Y415" s="23" t="n"/>
      <c r="Z415" s="23" t="n"/>
      <c r="AA415" s="23" t="n"/>
      <c r="AB415" s="30" t="n"/>
      <c r="AC415" s="1" t="n"/>
      <c r="AD415" s="1" t="str">
        <f>IF(G415="","",IFERROR(INDEX('Listas'!$N$6:$N$35,MATCH(G415,'Listas'!$M$6:$M$35,0)),""))</f>
        <v/>
      </c>
      <c r="AE415">
        <f>IF(G415="",1,IFERROR(INDEX('Listas'!$P$6:$P$35,MATCH(G415,'Listas'!$M$6:$M$35,0)),1))</f>
        <v>1</v>
      </c>
      <c r="AF415">
        <f>IF(H415="Compra",1,IF(H415="Venta",-1,0))</f>
        <v>0</v>
      </c>
      <c r="AG415">
        <f>IF(AND(D415&lt;&gt;"",ISNUMBER(R415)),1,0)</f>
        <v>0</v>
      </c>
      <c r="AH415">
        <f>IF(AG415=0,0,IF(OR('Panel'!$D$5="Todas las cuentas",'Panel'!$D$5="",F415='Panel'!$D$5),1,0))</f>
        <v>0</v>
      </c>
      <c r="AI415">
        <f>IF(AH415=0,0,IF(AND(OR('Panel'!$G$5="",D415&gt;='Panel'!$G$5),OR('Panel'!$J$5="",D415&lt;='Panel'!$J$5)),1,0))</f>
        <v>0</v>
      </c>
      <c r="AJ415">
        <f>IF(AI415=1,R415,0)</f>
        <v>0</v>
      </c>
      <c r="AK415" t="str">
        <f>IF(AI415=1,'Panel'!$AB$4+SUM($AJ$5:AJ415),"")</f>
        <v/>
      </c>
      <c r="AL415">
        <f>IF(AI415=0,N(AL414),IF(R415&lt;0,N(AL414)+1,0))</f>
        <v>1</v>
      </c>
      <c r="AM415">
        <f>IF(AI415=0,N(AM414),IF(R415&gt;0,N(AM414)+1,0))</f>
        <v>0</v>
      </c>
      <c r="AN415">
        <f>IF(AI415=1,MAX('Panel'!$AB$4,N(AN414),AK415),N(AN414))</f>
        <v>21371.061500000033</v>
      </c>
      <c r="AO415">
        <f>IF(AI415=1,AN415-AK415,0)</f>
        <v>0</v>
      </c>
      <c r="AP415">
        <f>IF(AND(AI415=1,AN415&gt;0),AO415/AN415,0)</f>
        <v>0</v>
      </c>
      <c r="AQ415" t="str">
        <f>IF(AI415=1,SUM($AI$5:AI415),"")</f>
        <v/>
      </c>
      <c r="AR415" t="str">
        <f>IF(AI415=1,IF(COUNTIFS($D$5:D415,D415,$AI$5:AI415,1)=1,SUMIFS($AJ$5:$AJ$504,$D$5:$D$504,D415),""),"")</f>
        <v/>
      </c>
      <c r="AS415" t="str">
        <f>IF(AG415=1,WEEKDAY(D415,2),"")</f>
        <v/>
      </c>
      <c r="AT415" s="31" t="str">
        <f>IF(AG415=1,DATE(YEAR(D415),MONTH(D415),1),"")</f>
        <v/>
      </c>
      <c r="AU415">
        <f>IF(AG415=0,0,IF(AND(OR('Prop challenge'!$D$7="",F415='Prop challenge'!$D$7),OR('Prop challenge'!$D$9="",D415&gt;='Prop challenge'!$D$9)),1,0))</f>
        <v>0</v>
      </c>
      <c r="AV415">
        <f>IF(AU415=1,IF(COUNTIFS($D$5:D415,D415,$AU$5:AU415,1)=1,1,0),0)</f>
        <v>0</v>
      </c>
      <c r="AW415" t="str">
        <f>IF(AV415=1,SUM($AV$5:AV415),"")</f>
        <v/>
      </c>
      <c r="AX415" t="str">
        <f>IF(AV415=1,SUMIFS($R$5:$R$504,$D$5:$D$504,D415,$AU$5:$AU$504,1),"")</f>
        <v/>
      </c>
    </row>
    <row r="416">
      <c r="A416" s="20" t="str">
        <f>IF(AG416=1,ROW()-4,"")</f>
        <v/>
      </c>
      <c r="B416" s="21" t="n"/>
      <c r="C416" s="22" t="n"/>
      <c r="D416" s="21" t="n"/>
      <c r="E416" s="22" t="n"/>
      <c r="F416" s="23" t="n"/>
      <c r="G416" s="23" t="n"/>
      <c r="H416" s="23" t="n"/>
      <c r="I416" s="24" t="n"/>
      <c r="J416" s="25" t="n"/>
      <c r="K416" s="25" t="n"/>
      <c r="L416" s="25" t="n"/>
      <c r="M416" s="25" t="n"/>
      <c r="N416" s="26" t="n"/>
      <c r="O416" s="26" t="n"/>
      <c r="P416" s="27" t="str">
        <f>IF(OR(J416="",K416="",I416="",AF416=0,AD416=""),"",(K416-J416)*AF416*I416*AD416*AE416)</f>
        <v/>
      </c>
      <c r="Q416" s="26" t="n"/>
      <c r="R416" s="28" t="str">
        <f>IF(Q416&lt;&gt;"",Q416,IF(P416="","",P416-N(N416)+N(O416)))</f>
        <v/>
      </c>
      <c r="S416" s="27" t="str">
        <f>IF(OR(L416="",J416="",I416="",AD416=""),"",ABS(J416-L416)*I416*AD416*AE416)</f>
        <v/>
      </c>
      <c r="T416" s="29" t="str">
        <f>IF(OR(R416="",S416="",S416=0),"",R416/S416)</f>
        <v/>
      </c>
      <c r="U416" s="20" t="str">
        <f>IF(R416="","",IF(R416&gt;0,"Ganadora",IF(R416&lt;0,"Perdedora","BE")))</f>
        <v/>
      </c>
      <c r="V416" s="23" t="n"/>
      <c r="W416" s="23" t="n"/>
      <c r="X416" s="23" t="n"/>
      <c r="Y416" s="23" t="n"/>
      <c r="Z416" s="23" t="n"/>
      <c r="AA416" s="23" t="n"/>
      <c r="AB416" s="30" t="n"/>
      <c r="AC416" s="1" t="n"/>
      <c r="AD416" s="1" t="str">
        <f>IF(G416="","",IFERROR(INDEX('Listas'!$N$6:$N$35,MATCH(G416,'Listas'!$M$6:$M$35,0)),""))</f>
        <v/>
      </c>
      <c r="AE416">
        <f>IF(G416="",1,IFERROR(INDEX('Listas'!$P$6:$P$35,MATCH(G416,'Listas'!$M$6:$M$35,0)),1))</f>
        <v>1</v>
      </c>
      <c r="AF416">
        <f>IF(H416="Compra",1,IF(H416="Venta",-1,0))</f>
        <v>0</v>
      </c>
      <c r="AG416">
        <f>IF(AND(D416&lt;&gt;"",ISNUMBER(R416)),1,0)</f>
        <v>0</v>
      </c>
      <c r="AH416">
        <f>IF(AG416=0,0,IF(OR('Panel'!$D$5="Todas las cuentas",'Panel'!$D$5="",F416='Panel'!$D$5),1,0))</f>
        <v>0</v>
      </c>
      <c r="AI416">
        <f>IF(AH416=0,0,IF(AND(OR('Panel'!$G$5="",D416&gt;='Panel'!$G$5),OR('Panel'!$J$5="",D416&lt;='Panel'!$J$5)),1,0))</f>
        <v>0</v>
      </c>
      <c r="AJ416">
        <f>IF(AI416=1,R416,0)</f>
        <v>0</v>
      </c>
      <c r="AK416" t="str">
        <f>IF(AI416=1,'Panel'!$AB$4+SUM($AJ$5:AJ416),"")</f>
        <v/>
      </c>
      <c r="AL416">
        <f>IF(AI416=0,N(AL415),IF(R416&lt;0,N(AL415)+1,0))</f>
        <v>1</v>
      </c>
      <c r="AM416">
        <f>IF(AI416=0,N(AM415),IF(R416&gt;0,N(AM415)+1,0))</f>
        <v>0</v>
      </c>
      <c r="AN416">
        <f>IF(AI416=1,MAX('Panel'!$AB$4,N(AN415),AK416),N(AN415))</f>
        <v>21371.061500000033</v>
      </c>
      <c r="AO416">
        <f>IF(AI416=1,AN416-AK416,0)</f>
        <v>0</v>
      </c>
      <c r="AP416">
        <f>IF(AND(AI416=1,AN416&gt;0),AO416/AN416,0)</f>
        <v>0</v>
      </c>
      <c r="AQ416" t="str">
        <f>IF(AI416=1,SUM($AI$5:AI416),"")</f>
        <v/>
      </c>
      <c r="AR416" t="str">
        <f>IF(AI416=1,IF(COUNTIFS($D$5:D416,D416,$AI$5:AI416,1)=1,SUMIFS($AJ$5:$AJ$504,$D$5:$D$504,D416),""),"")</f>
        <v/>
      </c>
      <c r="AS416" t="str">
        <f>IF(AG416=1,WEEKDAY(D416,2),"")</f>
        <v/>
      </c>
      <c r="AT416" s="31" t="str">
        <f>IF(AG416=1,DATE(YEAR(D416),MONTH(D416),1),"")</f>
        <v/>
      </c>
      <c r="AU416">
        <f>IF(AG416=0,0,IF(AND(OR('Prop challenge'!$D$7="",F416='Prop challenge'!$D$7),OR('Prop challenge'!$D$9="",D416&gt;='Prop challenge'!$D$9)),1,0))</f>
        <v>0</v>
      </c>
      <c r="AV416">
        <f>IF(AU416=1,IF(COUNTIFS($D$5:D416,D416,$AU$5:AU416,1)=1,1,0),0)</f>
        <v>0</v>
      </c>
      <c r="AW416" t="str">
        <f>IF(AV416=1,SUM($AV$5:AV416),"")</f>
        <v/>
      </c>
      <c r="AX416" t="str">
        <f>IF(AV416=1,SUMIFS($R$5:$R$504,$D$5:$D$504,D416,$AU$5:$AU$504,1),"")</f>
        <v/>
      </c>
    </row>
    <row r="417">
      <c r="A417" s="20" t="str">
        <f>IF(AG417=1,ROW()-4,"")</f>
        <v/>
      </c>
      <c r="B417" s="21" t="n"/>
      <c r="C417" s="22" t="n"/>
      <c r="D417" s="21" t="n"/>
      <c r="E417" s="22" t="n"/>
      <c r="F417" s="23" t="n"/>
      <c r="G417" s="23" t="n"/>
      <c r="H417" s="23" t="n"/>
      <c r="I417" s="24" t="n"/>
      <c r="J417" s="25" t="n"/>
      <c r="K417" s="25" t="n"/>
      <c r="L417" s="25" t="n"/>
      <c r="M417" s="25" t="n"/>
      <c r="N417" s="26" t="n"/>
      <c r="O417" s="26" t="n"/>
      <c r="P417" s="27" t="str">
        <f>IF(OR(J417="",K417="",I417="",AF417=0,AD417=""),"",(K417-J417)*AF417*I417*AD417*AE417)</f>
        <v/>
      </c>
      <c r="Q417" s="26" t="n"/>
      <c r="R417" s="28" t="str">
        <f>IF(Q417&lt;&gt;"",Q417,IF(P417="","",P417-N(N417)+N(O417)))</f>
        <v/>
      </c>
      <c r="S417" s="27" t="str">
        <f>IF(OR(L417="",J417="",I417="",AD417=""),"",ABS(J417-L417)*I417*AD417*AE417)</f>
        <v/>
      </c>
      <c r="T417" s="29" t="str">
        <f>IF(OR(R417="",S417="",S417=0),"",R417/S417)</f>
        <v/>
      </c>
      <c r="U417" s="20" t="str">
        <f>IF(R417="","",IF(R417&gt;0,"Ganadora",IF(R417&lt;0,"Perdedora","BE")))</f>
        <v/>
      </c>
      <c r="V417" s="23" t="n"/>
      <c r="W417" s="23" t="n"/>
      <c r="X417" s="23" t="n"/>
      <c r="Y417" s="23" t="n"/>
      <c r="Z417" s="23" t="n"/>
      <c r="AA417" s="23" t="n"/>
      <c r="AB417" s="30" t="n"/>
      <c r="AC417" s="1" t="n"/>
      <c r="AD417" s="1" t="str">
        <f>IF(G417="","",IFERROR(INDEX('Listas'!$N$6:$N$35,MATCH(G417,'Listas'!$M$6:$M$35,0)),""))</f>
        <v/>
      </c>
      <c r="AE417">
        <f>IF(G417="",1,IFERROR(INDEX('Listas'!$P$6:$P$35,MATCH(G417,'Listas'!$M$6:$M$35,0)),1))</f>
        <v>1</v>
      </c>
      <c r="AF417">
        <f>IF(H417="Compra",1,IF(H417="Venta",-1,0))</f>
        <v>0</v>
      </c>
      <c r="AG417">
        <f>IF(AND(D417&lt;&gt;"",ISNUMBER(R417)),1,0)</f>
        <v>0</v>
      </c>
      <c r="AH417">
        <f>IF(AG417=0,0,IF(OR('Panel'!$D$5="Todas las cuentas",'Panel'!$D$5="",F417='Panel'!$D$5),1,0))</f>
        <v>0</v>
      </c>
      <c r="AI417">
        <f>IF(AH417=0,0,IF(AND(OR('Panel'!$G$5="",D417&gt;='Panel'!$G$5),OR('Panel'!$J$5="",D417&lt;='Panel'!$J$5)),1,0))</f>
        <v>0</v>
      </c>
      <c r="AJ417">
        <f>IF(AI417=1,R417,0)</f>
        <v>0</v>
      </c>
      <c r="AK417" t="str">
        <f>IF(AI417=1,'Panel'!$AB$4+SUM($AJ$5:AJ417),"")</f>
        <v/>
      </c>
      <c r="AL417">
        <f>IF(AI417=0,N(AL416),IF(R417&lt;0,N(AL416)+1,0))</f>
        <v>1</v>
      </c>
      <c r="AM417">
        <f>IF(AI417=0,N(AM416),IF(R417&gt;0,N(AM416)+1,0))</f>
        <v>0</v>
      </c>
      <c r="AN417">
        <f>IF(AI417=1,MAX('Panel'!$AB$4,N(AN416),AK417),N(AN416))</f>
        <v>21371.061500000033</v>
      </c>
      <c r="AO417">
        <f>IF(AI417=1,AN417-AK417,0)</f>
        <v>0</v>
      </c>
      <c r="AP417">
        <f>IF(AND(AI417=1,AN417&gt;0),AO417/AN417,0)</f>
        <v>0</v>
      </c>
      <c r="AQ417" t="str">
        <f>IF(AI417=1,SUM($AI$5:AI417),"")</f>
        <v/>
      </c>
      <c r="AR417" t="str">
        <f>IF(AI417=1,IF(COUNTIFS($D$5:D417,D417,$AI$5:AI417,1)=1,SUMIFS($AJ$5:$AJ$504,$D$5:$D$504,D417),""),"")</f>
        <v/>
      </c>
      <c r="AS417" t="str">
        <f>IF(AG417=1,WEEKDAY(D417,2),"")</f>
        <v/>
      </c>
      <c r="AT417" s="31" t="str">
        <f>IF(AG417=1,DATE(YEAR(D417),MONTH(D417),1),"")</f>
        <v/>
      </c>
      <c r="AU417">
        <f>IF(AG417=0,0,IF(AND(OR('Prop challenge'!$D$7="",F417='Prop challenge'!$D$7),OR('Prop challenge'!$D$9="",D417&gt;='Prop challenge'!$D$9)),1,0))</f>
        <v>0</v>
      </c>
      <c r="AV417">
        <f>IF(AU417=1,IF(COUNTIFS($D$5:D417,D417,$AU$5:AU417,1)=1,1,0),0)</f>
        <v>0</v>
      </c>
      <c r="AW417" t="str">
        <f>IF(AV417=1,SUM($AV$5:AV417),"")</f>
        <v/>
      </c>
      <c r="AX417" t="str">
        <f>IF(AV417=1,SUMIFS($R$5:$R$504,$D$5:$D$504,D417,$AU$5:$AU$504,1),"")</f>
        <v/>
      </c>
    </row>
    <row r="418">
      <c r="A418" s="20" t="str">
        <f>IF(AG418=1,ROW()-4,"")</f>
        <v/>
      </c>
      <c r="B418" s="21" t="n"/>
      <c r="C418" s="22" t="n"/>
      <c r="D418" s="21" t="n"/>
      <c r="E418" s="22" t="n"/>
      <c r="F418" s="23" t="n"/>
      <c r="G418" s="23" t="n"/>
      <c r="H418" s="23" t="n"/>
      <c r="I418" s="24" t="n"/>
      <c r="J418" s="25" t="n"/>
      <c r="K418" s="25" t="n"/>
      <c r="L418" s="25" t="n"/>
      <c r="M418" s="25" t="n"/>
      <c r="N418" s="26" t="n"/>
      <c r="O418" s="26" t="n"/>
      <c r="P418" s="27" t="str">
        <f>IF(OR(J418="",K418="",I418="",AF418=0,AD418=""),"",(K418-J418)*AF418*I418*AD418*AE418)</f>
        <v/>
      </c>
      <c r="Q418" s="26" t="n"/>
      <c r="R418" s="28" t="str">
        <f>IF(Q418&lt;&gt;"",Q418,IF(P418="","",P418-N(N418)+N(O418)))</f>
        <v/>
      </c>
      <c r="S418" s="27" t="str">
        <f>IF(OR(L418="",J418="",I418="",AD418=""),"",ABS(J418-L418)*I418*AD418*AE418)</f>
        <v/>
      </c>
      <c r="T418" s="29" t="str">
        <f>IF(OR(R418="",S418="",S418=0),"",R418/S418)</f>
        <v/>
      </c>
      <c r="U418" s="20" t="str">
        <f>IF(R418="","",IF(R418&gt;0,"Ganadora",IF(R418&lt;0,"Perdedora","BE")))</f>
        <v/>
      </c>
      <c r="V418" s="23" t="n"/>
      <c r="W418" s="23" t="n"/>
      <c r="X418" s="23" t="n"/>
      <c r="Y418" s="23" t="n"/>
      <c r="Z418" s="23" t="n"/>
      <c r="AA418" s="23" t="n"/>
      <c r="AB418" s="30" t="n"/>
      <c r="AC418" s="1" t="n"/>
      <c r="AD418" s="1" t="str">
        <f>IF(G418="","",IFERROR(INDEX('Listas'!$N$6:$N$35,MATCH(G418,'Listas'!$M$6:$M$35,0)),""))</f>
        <v/>
      </c>
      <c r="AE418">
        <f>IF(G418="",1,IFERROR(INDEX('Listas'!$P$6:$P$35,MATCH(G418,'Listas'!$M$6:$M$35,0)),1))</f>
        <v>1</v>
      </c>
      <c r="AF418">
        <f>IF(H418="Compra",1,IF(H418="Venta",-1,0))</f>
        <v>0</v>
      </c>
      <c r="AG418">
        <f>IF(AND(D418&lt;&gt;"",ISNUMBER(R418)),1,0)</f>
        <v>0</v>
      </c>
      <c r="AH418">
        <f>IF(AG418=0,0,IF(OR('Panel'!$D$5="Todas las cuentas",'Panel'!$D$5="",F418='Panel'!$D$5),1,0))</f>
        <v>0</v>
      </c>
      <c r="AI418">
        <f>IF(AH418=0,0,IF(AND(OR('Panel'!$G$5="",D418&gt;='Panel'!$G$5),OR('Panel'!$J$5="",D418&lt;='Panel'!$J$5)),1,0))</f>
        <v>0</v>
      </c>
      <c r="AJ418">
        <f>IF(AI418=1,R418,0)</f>
        <v>0</v>
      </c>
      <c r="AK418" t="str">
        <f>IF(AI418=1,'Panel'!$AB$4+SUM($AJ$5:AJ418),"")</f>
        <v/>
      </c>
      <c r="AL418">
        <f>IF(AI418=0,N(AL417),IF(R418&lt;0,N(AL417)+1,0))</f>
        <v>1</v>
      </c>
      <c r="AM418">
        <f>IF(AI418=0,N(AM417),IF(R418&gt;0,N(AM417)+1,0))</f>
        <v>0</v>
      </c>
      <c r="AN418">
        <f>IF(AI418=1,MAX('Panel'!$AB$4,N(AN417),AK418),N(AN417))</f>
        <v>21371.061500000033</v>
      </c>
      <c r="AO418">
        <f>IF(AI418=1,AN418-AK418,0)</f>
        <v>0</v>
      </c>
      <c r="AP418">
        <f>IF(AND(AI418=1,AN418&gt;0),AO418/AN418,0)</f>
        <v>0</v>
      </c>
      <c r="AQ418" t="str">
        <f>IF(AI418=1,SUM($AI$5:AI418),"")</f>
        <v/>
      </c>
      <c r="AR418" t="str">
        <f>IF(AI418=1,IF(COUNTIFS($D$5:D418,D418,$AI$5:AI418,1)=1,SUMIFS($AJ$5:$AJ$504,$D$5:$D$504,D418),""),"")</f>
        <v/>
      </c>
      <c r="AS418" t="str">
        <f>IF(AG418=1,WEEKDAY(D418,2),"")</f>
        <v/>
      </c>
      <c r="AT418" s="31" t="str">
        <f>IF(AG418=1,DATE(YEAR(D418),MONTH(D418),1),"")</f>
        <v/>
      </c>
      <c r="AU418">
        <f>IF(AG418=0,0,IF(AND(OR('Prop challenge'!$D$7="",F418='Prop challenge'!$D$7),OR('Prop challenge'!$D$9="",D418&gt;='Prop challenge'!$D$9)),1,0))</f>
        <v>0</v>
      </c>
      <c r="AV418">
        <f>IF(AU418=1,IF(COUNTIFS($D$5:D418,D418,$AU$5:AU418,1)=1,1,0),0)</f>
        <v>0</v>
      </c>
      <c r="AW418" t="str">
        <f>IF(AV418=1,SUM($AV$5:AV418),"")</f>
        <v/>
      </c>
      <c r="AX418" t="str">
        <f>IF(AV418=1,SUMIFS($R$5:$R$504,$D$5:$D$504,D418,$AU$5:$AU$504,1),"")</f>
        <v/>
      </c>
    </row>
    <row r="419">
      <c r="A419" s="20" t="str">
        <f>IF(AG419=1,ROW()-4,"")</f>
        <v/>
      </c>
      <c r="B419" s="21" t="n"/>
      <c r="C419" s="22" t="n"/>
      <c r="D419" s="21" t="n"/>
      <c r="E419" s="22" t="n"/>
      <c r="F419" s="23" t="n"/>
      <c r="G419" s="23" t="n"/>
      <c r="H419" s="23" t="n"/>
      <c r="I419" s="24" t="n"/>
      <c r="J419" s="25" t="n"/>
      <c r="K419" s="25" t="n"/>
      <c r="L419" s="25" t="n"/>
      <c r="M419" s="25" t="n"/>
      <c r="N419" s="26" t="n"/>
      <c r="O419" s="26" t="n"/>
      <c r="P419" s="27" t="str">
        <f>IF(OR(J419="",K419="",I419="",AF419=0,AD419=""),"",(K419-J419)*AF419*I419*AD419*AE419)</f>
        <v/>
      </c>
      <c r="Q419" s="26" t="n"/>
      <c r="R419" s="28" t="str">
        <f>IF(Q419&lt;&gt;"",Q419,IF(P419="","",P419-N(N419)+N(O419)))</f>
        <v/>
      </c>
      <c r="S419" s="27" t="str">
        <f>IF(OR(L419="",J419="",I419="",AD419=""),"",ABS(J419-L419)*I419*AD419*AE419)</f>
        <v/>
      </c>
      <c r="T419" s="29" t="str">
        <f>IF(OR(R419="",S419="",S419=0),"",R419/S419)</f>
        <v/>
      </c>
      <c r="U419" s="20" t="str">
        <f>IF(R419="","",IF(R419&gt;0,"Ganadora",IF(R419&lt;0,"Perdedora","BE")))</f>
        <v/>
      </c>
      <c r="V419" s="23" t="n"/>
      <c r="W419" s="23" t="n"/>
      <c r="X419" s="23" t="n"/>
      <c r="Y419" s="23" t="n"/>
      <c r="Z419" s="23" t="n"/>
      <c r="AA419" s="23" t="n"/>
      <c r="AB419" s="30" t="n"/>
      <c r="AC419" s="1" t="n"/>
      <c r="AD419" s="1" t="str">
        <f>IF(G419="","",IFERROR(INDEX('Listas'!$N$6:$N$35,MATCH(G419,'Listas'!$M$6:$M$35,0)),""))</f>
        <v/>
      </c>
      <c r="AE419">
        <f>IF(G419="",1,IFERROR(INDEX('Listas'!$P$6:$P$35,MATCH(G419,'Listas'!$M$6:$M$35,0)),1))</f>
        <v>1</v>
      </c>
      <c r="AF419">
        <f>IF(H419="Compra",1,IF(H419="Venta",-1,0))</f>
        <v>0</v>
      </c>
      <c r="AG419">
        <f>IF(AND(D419&lt;&gt;"",ISNUMBER(R419)),1,0)</f>
        <v>0</v>
      </c>
      <c r="AH419">
        <f>IF(AG419=0,0,IF(OR('Panel'!$D$5="Todas las cuentas",'Panel'!$D$5="",F419='Panel'!$D$5),1,0))</f>
        <v>0</v>
      </c>
      <c r="AI419">
        <f>IF(AH419=0,0,IF(AND(OR('Panel'!$G$5="",D419&gt;='Panel'!$G$5),OR('Panel'!$J$5="",D419&lt;='Panel'!$J$5)),1,0))</f>
        <v>0</v>
      </c>
      <c r="AJ419">
        <f>IF(AI419=1,R419,0)</f>
        <v>0</v>
      </c>
      <c r="AK419" t="str">
        <f>IF(AI419=1,'Panel'!$AB$4+SUM($AJ$5:AJ419),"")</f>
        <v/>
      </c>
      <c r="AL419">
        <f>IF(AI419=0,N(AL418),IF(R419&lt;0,N(AL418)+1,0))</f>
        <v>1</v>
      </c>
      <c r="AM419">
        <f>IF(AI419=0,N(AM418),IF(R419&gt;0,N(AM418)+1,0))</f>
        <v>0</v>
      </c>
      <c r="AN419">
        <f>IF(AI419=1,MAX('Panel'!$AB$4,N(AN418),AK419),N(AN418))</f>
        <v>21371.061500000033</v>
      </c>
      <c r="AO419">
        <f>IF(AI419=1,AN419-AK419,0)</f>
        <v>0</v>
      </c>
      <c r="AP419">
        <f>IF(AND(AI419=1,AN419&gt;0),AO419/AN419,0)</f>
        <v>0</v>
      </c>
      <c r="AQ419" t="str">
        <f>IF(AI419=1,SUM($AI$5:AI419),"")</f>
        <v/>
      </c>
      <c r="AR419" t="str">
        <f>IF(AI419=1,IF(COUNTIFS($D$5:D419,D419,$AI$5:AI419,1)=1,SUMIFS($AJ$5:$AJ$504,$D$5:$D$504,D419),""),"")</f>
        <v/>
      </c>
      <c r="AS419" t="str">
        <f>IF(AG419=1,WEEKDAY(D419,2),"")</f>
        <v/>
      </c>
      <c r="AT419" s="31" t="str">
        <f>IF(AG419=1,DATE(YEAR(D419),MONTH(D419),1),"")</f>
        <v/>
      </c>
      <c r="AU419">
        <f>IF(AG419=0,0,IF(AND(OR('Prop challenge'!$D$7="",F419='Prop challenge'!$D$7),OR('Prop challenge'!$D$9="",D419&gt;='Prop challenge'!$D$9)),1,0))</f>
        <v>0</v>
      </c>
      <c r="AV419">
        <f>IF(AU419=1,IF(COUNTIFS($D$5:D419,D419,$AU$5:AU419,1)=1,1,0),0)</f>
        <v>0</v>
      </c>
      <c r="AW419" t="str">
        <f>IF(AV419=1,SUM($AV$5:AV419),"")</f>
        <v/>
      </c>
      <c r="AX419" t="str">
        <f>IF(AV419=1,SUMIFS($R$5:$R$504,$D$5:$D$504,D419,$AU$5:$AU$504,1),"")</f>
        <v/>
      </c>
    </row>
    <row r="420">
      <c r="A420" s="20" t="str">
        <f>IF(AG420=1,ROW()-4,"")</f>
        <v/>
      </c>
      <c r="B420" s="21" t="n"/>
      <c r="C420" s="22" t="n"/>
      <c r="D420" s="21" t="n"/>
      <c r="E420" s="22" t="n"/>
      <c r="F420" s="23" t="n"/>
      <c r="G420" s="23" t="n"/>
      <c r="H420" s="23" t="n"/>
      <c r="I420" s="24" t="n"/>
      <c r="J420" s="25" t="n"/>
      <c r="K420" s="25" t="n"/>
      <c r="L420" s="25" t="n"/>
      <c r="M420" s="25" t="n"/>
      <c r="N420" s="26" t="n"/>
      <c r="O420" s="26" t="n"/>
      <c r="P420" s="27" t="str">
        <f>IF(OR(J420="",K420="",I420="",AF420=0,AD420=""),"",(K420-J420)*AF420*I420*AD420*AE420)</f>
        <v/>
      </c>
      <c r="Q420" s="26" t="n"/>
      <c r="R420" s="28" t="str">
        <f>IF(Q420&lt;&gt;"",Q420,IF(P420="","",P420-N(N420)+N(O420)))</f>
        <v/>
      </c>
      <c r="S420" s="27" t="str">
        <f>IF(OR(L420="",J420="",I420="",AD420=""),"",ABS(J420-L420)*I420*AD420*AE420)</f>
        <v/>
      </c>
      <c r="T420" s="29" t="str">
        <f>IF(OR(R420="",S420="",S420=0),"",R420/S420)</f>
        <v/>
      </c>
      <c r="U420" s="20" t="str">
        <f>IF(R420="","",IF(R420&gt;0,"Ganadora",IF(R420&lt;0,"Perdedora","BE")))</f>
        <v/>
      </c>
      <c r="V420" s="23" t="n"/>
      <c r="W420" s="23" t="n"/>
      <c r="X420" s="23" t="n"/>
      <c r="Y420" s="23" t="n"/>
      <c r="Z420" s="23" t="n"/>
      <c r="AA420" s="23" t="n"/>
      <c r="AB420" s="30" t="n"/>
      <c r="AC420" s="1" t="n"/>
      <c r="AD420" s="1" t="str">
        <f>IF(G420="","",IFERROR(INDEX('Listas'!$N$6:$N$35,MATCH(G420,'Listas'!$M$6:$M$35,0)),""))</f>
        <v/>
      </c>
      <c r="AE420">
        <f>IF(G420="",1,IFERROR(INDEX('Listas'!$P$6:$P$35,MATCH(G420,'Listas'!$M$6:$M$35,0)),1))</f>
        <v>1</v>
      </c>
      <c r="AF420">
        <f>IF(H420="Compra",1,IF(H420="Venta",-1,0))</f>
        <v>0</v>
      </c>
      <c r="AG420">
        <f>IF(AND(D420&lt;&gt;"",ISNUMBER(R420)),1,0)</f>
        <v>0</v>
      </c>
      <c r="AH420">
        <f>IF(AG420=0,0,IF(OR('Panel'!$D$5="Todas las cuentas",'Panel'!$D$5="",F420='Panel'!$D$5),1,0))</f>
        <v>0</v>
      </c>
      <c r="AI420">
        <f>IF(AH420=0,0,IF(AND(OR('Panel'!$G$5="",D420&gt;='Panel'!$G$5),OR('Panel'!$J$5="",D420&lt;='Panel'!$J$5)),1,0))</f>
        <v>0</v>
      </c>
      <c r="AJ420">
        <f>IF(AI420=1,R420,0)</f>
        <v>0</v>
      </c>
      <c r="AK420" t="str">
        <f>IF(AI420=1,'Panel'!$AB$4+SUM($AJ$5:AJ420),"")</f>
        <v/>
      </c>
      <c r="AL420">
        <f>IF(AI420=0,N(AL419),IF(R420&lt;0,N(AL419)+1,0))</f>
        <v>1</v>
      </c>
      <c r="AM420">
        <f>IF(AI420=0,N(AM419),IF(R420&gt;0,N(AM419)+1,0))</f>
        <v>0</v>
      </c>
      <c r="AN420">
        <f>IF(AI420=1,MAX('Panel'!$AB$4,N(AN419),AK420),N(AN419))</f>
        <v>21371.061500000033</v>
      </c>
      <c r="AO420">
        <f>IF(AI420=1,AN420-AK420,0)</f>
        <v>0</v>
      </c>
      <c r="AP420">
        <f>IF(AND(AI420=1,AN420&gt;0),AO420/AN420,0)</f>
        <v>0</v>
      </c>
      <c r="AQ420" t="str">
        <f>IF(AI420=1,SUM($AI$5:AI420),"")</f>
        <v/>
      </c>
      <c r="AR420" t="str">
        <f>IF(AI420=1,IF(COUNTIFS($D$5:D420,D420,$AI$5:AI420,1)=1,SUMIFS($AJ$5:$AJ$504,$D$5:$D$504,D420),""),"")</f>
        <v/>
      </c>
      <c r="AS420" t="str">
        <f>IF(AG420=1,WEEKDAY(D420,2),"")</f>
        <v/>
      </c>
      <c r="AT420" s="31" t="str">
        <f>IF(AG420=1,DATE(YEAR(D420),MONTH(D420),1),"")</f>
        <v/>
      </c>
      <c r="AU420">
        <f>IF(AG420=0,0,IF(AND(OR('Prop challenge'!$D$7="",F420='Prop challenge'!$D$7),OR('Prop challenge'!$D$9="",D420&gt;='Prop challenge'!$D$9)),1,0))</f>
        <v>0</v>
      </c>
      <c r="AV420">
        <f>IF(AU420=1,IF(COUNTIFS($D$5:D420,D420,$AU$5:AU420,1)=1,1,0),0)</f>
        <v>0</v>
      </c>
      <c r="AW420" t="str">
        <f>IF(AV420=1,SUM($AV$5:AV420),"")</f>
        <v/>
      </c>
      <c r="AX420" t="str">
        <f>IF(AV420=1,SUMIFS($R$5:$R$504,$D$5:$D$504,D420,$AU$5:$AU$504,1),"")</f>
        <v/>
      </c>
    </row>
    <row r="421">
      <c r="A421" s="20" t="str">
        <f>IF(AG421=1,ROW()-4,"")</f>
        <v/>
      </c>
      <c r="B421" s="21" t="n"/>
      <c r="C421" s="22" t="n"/>
      <c r="D421" s="21" t="n"/>
      <c r="E421" s="22" t="n"/>
      <c r="F421" s="23" t="n"/>
      <c r="G421" s="23" t="n"/>
      <c r="H421" s="23" t="n"/>
      <c r="I421" s="24" t="n"/>
      <c r="J421" s="25" t="n"/>
      <c r="K421" s="25" t="n"/>
      <c r="L421" s="25" t="n"/>
      <c r="M421" s="25" t="n"/>
      <c r="N421" s="26" t="n"/>
      <c r="O421" s="26" t="n"/>
      <c r="P421" s="27" t="str">
        <f>IF(OR(J421="",K421="",I421="",AF421=0,AD421=""),"",(K421-J421)*AF421*I421*AD421*AE421)</f>
        <v/>
      </c>
      <c r="Q421" s="26" t="n"/>
      <c r="R421" s="28" t="str">
        <f>IF(Q421&lt;&gt;"",Q421,IF(P421="","",P421-N(N421)+N(O421)))</f>
        <v/>
      </c>
      <c r="S421" s="27" t="str">
        <f>IF(OR(L421="",J421="",I421="",AD421=""),"",ABS(J421-L421)*I421*AD421*AE421)</f>
        <v/>
      </c>
      <c r="T421" s="29" t="str">
        <f>IF(OR(R421="",S421="",S421=0),"",R421/S421)</f>
        <v/>
      </c>
      <c r="U421" s="20" t="str">
        <f>IF(R421="","",IF(R421&gt;0,"Ganadora",IF(R421&lt;0,"Perdedora","BE")))</f>
        <v/>
      </c>
      <c r="V421" s="23" t="n"/>
      <c r="W421" s="23" t="n"/>
      <c r="X421" s="23" t="n"/>
      <c r="Y421" s="23" t="n"/>
      <c r="Z421" s="23" t="n"/>
      <c r="AA421" s="23" t="n"/>
      <c r="AB421" s="30" t="n"/>
      <c r="AC421" s="1" t="n"/>
      <c r="AD421" s="1" t="str">
        <f>IF(G421="","",IFERROR(INDEX('Listas'!$N$6:$N$35,MATCH(G421,'Listas'!$M$6:$M$35,0)),""))</f>
        <v/>
      </c>
      <c r="AE421">
        <f>IF(G421="",1,IFERROR(INDEX('Listas'!$P$6:$P$35,MATCH(G421,'Listas'!$M$6:$M$35,0)),1))</f>
        <v>1</v>
      </c>
      <c r="AF421">
        <f>IF(H421="Compra",1,IF(H421="Venta",-1,0))</f>
        <v>0</v>
      </c>
      <c r="AG421">
        <f>IF(AND(D421&lt;&gt;"",ISNUMBER(R421)),1,0)</f>
        <v>0</v>
      </c>
      <c r="AH421">
        <f>IF(AG421=0,0,IF(OR('Panel'!$D$5="Todas las cuentas",'Panel'!$D$5="",F421='Panel'!$D$5),1,0))</f>
        <v>0</v>
      </c>
      <c r="AI421">
        <f>IF(AH421=0,0,IF(AND(OR('Panel'!$G$5="",D421&gt;='Panel'!$G$5),OR('Panel'!$J$5="",D421&lt;='Panel'!$J$5)),1,0))</f>
        <v>0</v>
      </c>
      <c r="AJ421">
        <f>IF(AI421=1,R421,0)</f>
        <v>0</v>
      </c>
      <c r="AK421" t="str">
        <f>IF(AI421=1,'Panel'!$AB$4+SUM($AJ$5:AJ421),"")</f>
        <v/>
      </c>
      <c r="AL421">
        <f>IF(AI421=0,N(AL420),IF(R421&lt;0,N(AL420)+1,0))</f>
        <v>1</v>
      </c>
      <c r="AM421">
        <f>IF(AI421=0,N(AM420),IF(R421&gt;0,N(AM420)+1,0))</f>
        <v>0</v>
      </c>
      <c r="AN421">
        <f>IF(AI421=1,MAX('Panel'!$AB$4,N(AN420),AK421),N(AN420))</f>
        <v>21371.061500000033</v>
      </c>
      <c r="AO421">
        <f>IF(AI421=1,AN421-AK421,0)</f>
        <v>0</v>
      </c>
      <c r="AP421">
        <f>IF(AND(AI421=1,AN421&gt;0),AO421/AN421,0)</f>
        <v>0</v>
      </c>
      <c r="AQ421" t="str">
        <f>IF(AI421=1,SUM($AI$5:AI421),"")</f>
        <v/>
      </c>
      <c r="AR421" t="str">
        <f>IF(AI421=1,IF(COUNTIFS($D$5:D421,D421,$AI$5:AI421,1)=1,SUMIFS($AJ$5:$AJ$504,$D$5:$D$504,D421),""),"")</f>
        <v/>
      </c>
      <c r="AS421" t="str">
        <f>IF(AG421=1,WEEKDAY(D421,2),"")</f>
        <v/>
      </c>
      <c r="AT421" s="31" t="str">
        <f>IF(AG421=1,DATE(YEAR(D421),MONTH(D421),1),"")</f>
        <v/>
      </c>
      <c r="AU421">
        <f>IF(AG421=0,0,IF(AND(OR('Prop challenge'!$D$7="",F421='Prop challenge'!$D$7),OR('Prop challenge'!$D$9="",D421&gt;='Prop challenge'!$D$9)),1,0))</f>
        <v>0</v>
      </c>
      <c r="AV421">
        <f>IF(AU421=1,IF(COUNTIFS($D$5:D421,D421,$AU$5:AU421,1)=1,1,0),0)</f>
        <v>0</v>
      </c>
      <c r="AW421" t="str">
        <f>IF(AV421=1,SUM($AV$5:AV421),"")</f>
        <v/>
      </c>
      <c r="AX421" t="str">
        <f>IF(AV421=1,SUMIFS($R$5:$R$504,$D$5:$D$504,D421,$AU$5:$AU$504,1),"")</f>
        <v/>
      </c>
    </row>
    <row r="422">
      <c r="A422" s="20" t="str">
        <f>IF(AG422=1,ROW()-4,"")</f>
        <v/>
      </c>
      <c r="B422" s="21" t="n"/>
      <c r="C422" s="22" t="n"/>
      <c r="D422" s="21" t="n"/>
      <c r="E422" s="22" t="n"/>
      <c r="F422" s="23" t="n"/>
      <c r="G422" s="23" t="n"/>
      <c r="H422" s="23" t="n"/>
      <c r="I422" s="24" t="n"/>
      <c r="J422" s="25" t="n"/>
      <c r="K422" s="25" t="n"/>
      <c r="L422" s="25" t="n"/>
      <c r="M422" s="25" t="n"/>
      <c r="N422" s="26" t="n"/>
      <c r="O422" s="26" t="n"/>
      <c r="P422" s="27" t="str">
        <f>IF(OR(J422="",K422="",I422="",AF422=0,AD422=""),"",(K422-J422)*AF422*I422*AD422*AE422)</f>
        <v/>
      </c>
      <c r="Q422" s="26" t="n"/>
      <c r="R422" s="28" t="str">
        <f>IF(Q422&lt;&gt;"",Q422,IF(P422="","",P422-N(N422)+N(O422)))</f>
        <v/>
      </c>
      <c r="S422" s="27" t="str">
        <f>IF(OR(L422="",J422="",I422="",AD422=""),"",ABS(J422-L422)*I422*AD422*AE422)</f>
        <v/>
      </c>
      <c r="T422" s="29" t="str">
        <f>IF(OR(R422="",S422="",S422=0),"",R422/S422)</f>
        <v/>
      </c>
      <c r="U422" s="20" t="str">
        <f>IF(R422="","",IF(R422&gt;0,"Ganadora",IF(R422&lt;0,"Perdedora","BE")))</f>
        <v/>
      </c>
      <c r="V422" s="23" t="n"/>
      <c r="W422" s="23" t="n"/>
      <c r="X422" s="23" t="n"/>
      <c r="Y422" s="23" t="n"/>
      <c r="Z422" s="23" t="n"/>
      <c r="AA422" s="23" t="n"/>
      <c r="AB422" s="30" t="n"/>
      <c r="AC422" s="1" t="n"/>
      <c r="AD422" s="1" t="str">
        <f>IF(G422="","",IFERROR(INDEX('Listas'!$N$6:$N$35,MATCH(G422,'Listas'!$M$6:$M$35,0)),""))</f>
        <v/>
      </c>
      <c r="AE422">
        <f>IF(G422="",1,IFERROR(INDEX('Listas'!$P$6:$P$35,MATCH(G422,'Listas'!$M$6:$M$35,0)),1))</f>
        <v>1</v>
      </c>
      <c r="AF422">
        <f>IF(H422="Compra",1,IF(H422="Venta",-1,0))</f>
        <v>0</v>
      </c>
      <c r="AG422">
        <f>IF(AND(D422&lt;&gt;"",ISNUMBER(R422)),1,0)</f>
        <v>0</v>
      </c>
      <c r="AH422">
        <f>IF(AG422=0,0,IF(OR('Panel'!$D$5="Todas las cuentas",'Panel'!$D$5="",F422='Panel'!$D$5),1,0))</f>
        <v>0</v>
      </c>
      <c r="AI422">
        <f>IF(AH422=0,0,IF(AND(OR('Panel'!$G$5="",D422&gt;='Panel'!$G$5),OR('Panel'!$J$5="",D422&lt;='Panel'!$J$5)),1,0))</f>
        <v>0</v>
      </c>
      <c r="AJ422">
        <f>IF(AI422=1,R422,0)</f>
        <v>0</v>
      </c>
      <c r="AK422" t="str">
        <f>IF(AI422=1,'Panel'!$AB$4+SUM($AJ$5:AJ422),"")</f>
        <v/>
      </c>
      <c r="AL422">
        <f>IF(AI422=0,N(AL421),IF(R422&lt;0,N(AL421)+1,0))</f>
        <v>1</v>
      </c>
      <c r="AM422">
        <f>IF(AI422=0,N(AM421),IF(R422&gt;0,N(AM421)+1,0))</f>
        <v>0</v>
      </c>
      <c r="AN422">
        <f>IF(AI422=1,MAX('Panel'!$AB$4,N(AN421),AK422),N(AN421))</f>
        <v>21371.061500000033</v>
      </c>
      <c r="AO422">
        <f>IF(AI422=1,AN422-AK422,0)</f>
        <v>0</v>
      </c>
      <c r="AP422">
        <f>IF(AND(AI422=1,AN422&gt;0),AO422/AN422,0)</f>
        <v>0</v>
      </c>
      <c r="AQ422" t="str">
        <f>IF(AI422=1,SUM($AI$5:AI422),"")</f>
        <v/>
      </c>
      <c r="AR422" t="str">
        <f>IF(AI422=1,IF(COUNTIFS($D$5:D422,D422,$AI$5:AI422,1)=1,SUMIFS($AJ$5:$AJ$504,$D$5:$D$504,D422),""),"")</f>
        <v/>
      </c>
      <c r="AS422" t="str">
        <f>IF(AG422=1,WEEKDAY(D422,2),"")</f>
        <v/>
      </c>
      <c r="AT422" s="31" t="str">
        <f>IF(AG422=1,DATE(YEAR(D422),MONTH(D422),1),"")</f>
        <v/>
      </c>
      <c r="AU422">
        <f>IF(AG422=0,0,IF(AND(OR('Prop challenge'!$D$7="",F422='Prop challenge'!$D$7),OR('Prop challenge'!$D$9="",D422&gt;='Prop challenge'!$D$9)),1,0))</f>
        <v>0</v>
      </c>
      <c r="AV422">
        <f>IF(AU422=1,IF(COUNTIFS($D$5:D422,D422,$AU$5:AU422,1)=1,1,0),0)</f>
        <v>0</v>
      </c>
      <c r="AW422" t="str">
        <f>IF(AV422=1,SUM($AV$5:AV422),"")</f>
        <v/>
      </c>
      <c r="AX422" t="str">
        <f>IF(AV422=1,SUMIFS($R$5:$R$504,$D$5:$D$504,D422,$AU$5:$AU$504,1),"")</f>
        <v/>
      </c>
    </row>
    <row r="423">
      <c r="A423" s="20" t="str">
        <f>IF(AG423=1,ROW()-4,"")</f>
        <v/>
      </c>
      <c r="B423" s="21" t="n"/>
      <c r="C423" s="22" t="n"/>
      <c r="D423" s="21" t="n"/>
      <c r="E423" s="22" t="n"/>
      <c r="F423" s="23" t="n"/>
      <c r="G423" s="23" t="n"/>
      <c r="H423" s="23" t="n"/>
      <c r="I423" s="24" t="n"/>
      <c r="J423" s="25" t="n"/>
      <c r="K423" s="25" t="n"/>
      <c r="L423" s="25" t="n"/>
      <c r="M423" s="25" t="n"/>
      <c r="N423" s="26" t="n"/>
      <c r="O423" s="26" t="n"/>
      <c r="P423" s="27" t="str">
        <f>IF(OR(J423="",K423="",I423="",AF423=0,AD423=""),"",(K423-J423)*AF423*I423*AD423*AE423)</f>
        <v/>
      </c>
      <c r="Q423" s="26" t="n"/>
      <c r="R423" s="28" t="str">
        <f>IF(Q423&lt;&gt;"",Q423,IF(P423="","",P423-N(N423)+N(O423)))</f>
        <v/>
      </c>
      <c r="S423" s="27" t="str">
        <f>IF(OR(L423="",J423="",I423="",AD423=""),"",ABS(J423-L423)*I423*AD423*AE423)</f>
        <v/>
      </c>
      <c r="T423" s="29" t="str">
        <f>IF(OR(R423="",S423="",S423=0),"",R423/S423)</f>
        <v/>
      </c>
      <c r="U423" s="20" t="str">
        <f>IF(R423="","",IF(R423&gt;0,"Ganadora",IF(R423&lt;0,"Perdedora","BE")))</f>
        <v/>
      </c>
      <c r="V423" s="23" t="n"/>
      <c r="W423" s="23" t="n"/>
      <c r="X423" s="23" t="n"/>
      <c r="Y423" s="23" t="n"/>
      <c r="Z423" s="23" t="n"/>
      <c r="AA423" s="23" t="n"/>
      <c r="AB423" s="30" t="n"/>
      <c r="AC423" s="1" t="n"/>
      <c r="AD423" s="1" t="str">
        <f>IF(G423="","",IFERROR(INDEX('Listas'!$N$6:$N$35,MATCH(G423,'Listas'!$M$6:$M$35,0)),""))</f>
        <v/>
      </c>
      <c r="AE423">
        <f>IF(G423="",1,IFERROR(INDEX('Listas'!$P$6:$P$35,MATCH(G423,'Listas'!$M$6:$M$35,0)),1))</f>
        <v>1</v>
      </c>
      <c r="AF423">
        <f>IF(H423="Compra",1,IF(H423="Venta",-1,0))</f>
        <v>0</v>
      </c>
      <c r="AG423">
        <f>IF(AND(D423&lt;&gt;"",ISNUMBER(R423)),1,0)</f>
        <v>0</v>
      </c>
      <c r="AH423">
        <f>IF(AG423=0,0,IF(OR('Panel'!$D$5="Todas las cuentas",'Panel'!$D$5="",F423='Panel'!$D$5),1,0))</f>
        <v>0</v>
      </c>
      <c r="AI423">
        <f>IF(AH423=0,0,IF(AND(OR('Panel'!$G$5="",D423&gt;='Panel'!$G$5),OR('Panel'!$J$5="",D423&lt;='Panel'!$J$5)),1,0))</f>
        <v>0</v>
      </c>
      <c r="AJ423">
        <f>IF(AI423=1,R423,0)</f>
        <v>0</v>
      </c>
      <c r="AK423" t="str">
        <f>IF(AI423=1,'Panel'!$AB$4+SUM($AJ$5:AJ423),"")</f>
        <v/>
      </c>
      <c r="AL423">
        <f>IF(AI423=0,N(AL422),IF(R423&lt;0,N(AL422)+1,0))</f>
        <v>1</v>
      </c>
      <c r="AM423">
        <f>IF(AI423=0,N(AM422),IF(R423&gt;0,N(AM422)+1,0))</f>
        <v>0</v>
      </c>
      <c r="AN423">
        <f>IF(AI423=1,MAX('Panel'!$AB$4,N(AN422),AK423),N(AN422))</f>
        <v>21371.061500000033</v>
      </c>
      <c r="AO423">
        <f>IF(AI423=1,AN423-AK423,0)</f>
        <v>0</v>
      </c>
      <c r="AP423">
        <f>IF(AND(AI423=1,AN423&gt;0),AO423/AN423,0)</f>
        <v>0</v>
      </c>
      <c r="AQ423" t="str">
        <f>IF(AI423=1,SUM($AI$5:AI423),"")</f>
        <v/>
      </c>
      <c r="AR423" t="str">
        <f>IF(AI423=1,IF(COUNTIFS($D$5:D423,D423,$AI$5:AI423,1)=1,SUMIFS($AJ$5:$AJ$504,$D$5:$D$504,D423),""),"")</f>
        <v/>
      </c>
      <c r="AS423" t="str">
        <f>IF(AG423=1,WEEKDAY(D423,2),"")</f>
        <v/>
      </c>
      <c r="AT423" s="31" t="str">
        <f>IF(AG423=1,DATE(YEAR(D423),MONTH(D423),1),"")</f>
        <v/>
      </c>
      <c r="AU423">
        <f>IF(AG423=0,0,IF(AND(OR('Prop challenge'!$D$7="",F423='Prop challenge'!$D$7),OR('Prop challenge'!$D$9="",D423&gt;='Prop challenge'!$D$9)),1,0))</f>
        <v>0</v>
      </c>
      <c r="AV423">
        <f>IF(AU423=1,IF(COUNTIFS($D$5:D423,D423,$AU$5:AU423,1)=1,1,0),0)</f>
        <v>0</v>
      </c>
      <c r="AW423" t="str">
        <f>IF(AV423=1,SUM($AV$5:AV423),"")</f>
        <v/>
      </c>
      <c r="AX423" t="str">
        <f>IF(AV423=1,SUMIFS($R$5:$R$504,$D$5:$D$504,D423,$AU$5:$AU$504,1),"")</f>
        <v/>
      </c>
    </row>
    <row r="424">
      <c r="A424" s="20" t="str">
        <f>IF(AG424=1,ROW()-4,"")</f>
        <v/>
      </c>
      <c r="B424" s="21" t="n"/>
      <c r="C424" s="22" t="n"/>
      <c r="D424" s="21" t="n"/>
      <c r="E424" s="22" t="n"/>
      <c r="F424" s="23" t="n"/>
      <c r="G424" s="23" t="n"/>
      <c r="H424" s="23" t="n"/>
      <c r="I424" s="24" t="n"/>
      <c r="J424" s="25" t="n"/>
      <c r="K424" s="25" t="n"/>
      <c r="L424" s="25" t="n"/>
      <c r="M424" s="25" t="n"/>
      <c r="N424" s="26" t="n"/>
      <c r="O424" s="26" t="n"/>
      <c r="P424" s="27" t="str">
        <f>IF(OR(J424="",K424="",I424="",AF424=0,AD424=""),"",(K424-J424)*AF424*I424*AD424*AE424)</f>
        <v/>
      </c>
      <c r="Q424" s="26" t="n"/>
      <c r="R424" s="28" t="str">
        <f>IF(Q424&lt;&gt;"",Q424,IF(P424="","",P424-N(N424)+N(O424)))</f>
        <v/>
      </c>
      <c r="S424" s="27" t="str">
        <f>IF(OR(L424="",J424="",I424="",AD424=""),"",ABS(J424-L424)*I424*AD424*AE424)</f>
        <v/>
      </c>
      <c r="T424" s="29" t="str">
        <f>IF(OR(R424="",S424="",S424=0),"",R424/S424)</f>
        <v/>
      </c>
      <c r="U424" s="20" t="str">
        <f>IF(R424="","",IF(R424&gt;0,"Ganadora",IF(R424&lt;0,"Perdedora","BE")))</f>
        <v/>
      </c>
      <c r="V424" s="23" t="n"/>
      <c r="W424" s="23" t="n"/>
      <c r="X424" s="23" t="n"/>
      <c r="Y424" s="23" t="n"/>
      <c r="Z424" s="23" t="n"/>
      <c r="AA424" s="23" t="n"/>
      <c r="AB424" s="30" t="n"/>
      <c r="AC424" s="1" t="n"/>
      <c r="AD424" s="1" t="str">
        <f>IF(G424="","",IFERROR(INDEX('Listas'!$N$6:$N$35,MATCH(G424,'Listas'!$M$6:$M$35,0)),""))</f>
        <v/>
      </c>
      <c r="AE424">
        <f>IF(G424="",1,IFERROR(INDEX('Listas'!$P$6:$P$35,MATCH(G424,'Listas'!$M$6:$M$35,0)),1))</f>
        <v>1</v>
      </c>
      <c r="AF424">
        <f>IF(H424="Compra",1,IF(H424="Venta",-1,0))</f>
        <v>0</v>
      </c>
      <c r="AG424">
        <f>IF(AND(D424&lt;&gt;"",ISNUMBER(R424)),1,0)</f>
        <v>0</v>
      </c>
      <c r="AH424">
        <f>IF(AG424=0,0,IF(OR('Panel'!$D$5="Todas las cuentas",'Panel'!$D$5="",F424='Panel'!$D$5),1,0))</f>
        <v>0</v>
      </c>
      <c r="AI424">
        <f>IF(AH424=0,0,IF(AND(OR('Panel'!$G$5="",D424&gt;='Panel'!$G$5),OR('Panel'!$J$5="",D424&lt;='Panel'!$J$5)),1,0))</f>
        <v>0</v>
      </c>
      <c r="AJ424">
        <f>IF(AI424=1,R424,0)</f>
        <v>0</v>
      </c>
      <c r="AK424" t="str">
        <f>IF(AI424=1,'Panel'!$AB$4+SUM($AJ$5:AJ424),"")</f>
        <v/>
      </c>
      <c r="AL424">
        <f>IF(AI424=0,N(AL423),IF(R424&lt;0,N(AL423)+1,0))</f>
        <v>1</v>
      </c>
      <c r="AM424">
        <f>IF(AI424=0,N(AM423),IF(R424&gt;0,N(AM423)+1,0))</f>
        <v>0</v>
      </c>
      <c r="AN424">
        <f>IF(AI424=1,MAX('Panel'!$AB$4,N(AN423),AK424),N(AN423))</f>
        <v>21371.061500000033</v>
      </c>
      <c r="AO424">
        <f>IF(AI424=1,AN424-AK424,0)</f>
        <v>0</v>
      </c>
      <c r="AP424">
        <f>IF(AND(AI424=1,AN424&gt;0),AO424/AN424,0)</f>
        <v>0</v>
      </c>
      <c r="AQ424" t="str">
        <f>IF(AI424=1,SUM($AI$5:AI424),"")</f>
        <v/>
      </c>
      <c r="AR424" t="str">
        <f>IF(AI424=1,IF(COUNTIFS($D$5:D424,D424,$AI$5:AI424,1)=1,SUMIFS($AJ$5:$AJ$504,$D$5:$D$504,D424),""),"")</f>
        <v/>
      </c>
      <c r="AS424" t="str">
        <f>IF(AG424=1,WEEKDAY(D424,2),"")</f>
        <v/>
      </c>
      <c r="AT424" s="31" t="str">
        <f>IF(AG424=1,DATE(YEAR(D424),MONTH(D424),1),"")</f>
        <v/>
      </c>
      <c r="AU424">
        <f>IF(AG424=0,0,IF(AND(OR('Prop challenge'!$D$7="",F424='Prop challenge'!$D$7),OR('Prop challenge'!$D$9="",D424&gt;='Prop challenge'!$D$9)),1,0))</f>
        <v>0</v>
      </c>
      <c r="AV424">
        <f>IF(AU424=1,IF(COUNTIFS($D$5:D424,D424,$AU$5:AU424,1)=1,1,0),0)</f>
        <v>0</v>
      </c>
      <c r="AW424" t="str">
        <f>IF(AV424=1,SUM($AV$5:AV424),"")</f>
        <v/>
      </c>
      <c r="AX424" t="str">
        <f>IF(AV424=1,SUMIFS($R$5:$R$504,$D$5:$D$504,D424,$AU$5:$AU$504,1),"")</f>
        <v/>
      </c>
    </row>
    <row r="425">
      <c r="A425" s="20" t="str">
        <f>IF(AG425=1,ROW()-4,"")</f>
        <v/>
      </c>
      <c r="B425" s="21" t="n"/>
      <c r="C425" s="22" t="n"/>
      <c r="D425" s="21" t="n"/>
      <c r="E425" s="22" t="n"/>
      <c r="F425" s="23" t="n"/>
      <c r="G425" s="23" t="n"/>
      <c r="H425" s="23" t="n"/>
      <c r="I425" s="24" t="n"/>
      <c r="J425" s="25" t="n"/>
      <c r="K425" s="25" t="n"/>
      <c r="L425" s="25" t="n"/>
      <c r="M425" s="25" t="n"/>
      <c r="N425" s="26" t="n"/>
      <c r="O425" s="26" t="n"/>
      <c r="P425" s="27" t="str">
        <f>IF(OR(J425="",K425="",I425="",AF425=0,AD425=""),"",(K425-J425)*AF425*I425*AD425*AE425)</f>
        <v/>
      </c>
      <c r="Q425" s="26" t="n"/>
      <c r="R425" s="28" t="str">
        <f>IF(Q425&lt;&gt;"",Q425,IF(P425="","",P425-N(N425)+N(O425)))</f>
        <v/>
      </c>
      <c r="S425" s="27" t="str">
        <f>IF(OR(L425="",J425="",I425="",AD425=""),"",ABS(J425-L425)*I425*AD425*AE425)</f>
        <v/>
      </c>
      <c r="T425" s="29" t="str">
        <f>IF(OR(R425="",S425="",S425=0),"",R425/S425)</f>
        <v/>
      </c>
      <c r="U425" s="20" t="str">
        <f>IF(R425="","",IF(R425&gt;0,"Ganadora",IF(R425&lt;0,"Perdedora","BE")))</f>
        <v/>
      </c>
      <c r="V425" s="23" t="n"/>
      <c r="W425" s="23" t="n"/>
      <c r="X425" s="23" t="n"/>
      <c r="Y425" s="23" t="n"/>
      <c r="Z425" s="23" t="n"/>
      <c r="AA425" s="23" t="n"/>
      <c r="AB425" s="30" t="n"/>
      <c r="AC425" s="1" t="n"/>
      <c r="AD425" s="1" t="str">
        <f>IF(G425="","",IFERROR(INDEX('Listas'!$N$6:$N$35,MATCH(G425,'Listas'!$M$6:$M$35,0)),""))</f>
        <v/>
      </c>
      <c r="AE425">
        <f>IF(G425="",1,IFERROR(INDEX('Listas'!$P$6:$P$35,MATCH(G425,'Listas'!$M$6:$M$35,0)),1))</f>
        <v>1</v>
      </c>
      <c r="AF425">
        <f>IF(H425="Compra",1,IF(H425="Venta",-1,0))</f>
        <v>0</v>
      </c>
      <c r="AG425">
        <f>IF(AND(D425&lt;&gt;"",ISNUMBER(R425)),1,0)</f>
        <v>0</v>
      </c>
      <c r="AH425">
        <f>IF(AG425=0,0,IF(OR('Panel'!$D$5="Todas las cuentas",'Panel'!$D$5="",F425='Panel'!$D$5),1,0))</f>
        <v>0</v>
      </c>
      <c r="AI425">
        <f>IF(AH425=0,0,IF(AND(OR('Panel'!$G$5="",D425&gt;='Panel'!$G$5),OR('Panel'!$J$5="",D425&lt;='Panel'!$J$5)),1,0))</f>
        <v>0</v>
      </c>
      <c r="AJ425">
        <f>IF(AI425=1,R425,0)</f>
        <v>0</v>
      </c>
      <c r="AK425" t="str">
        <f>IF(AI425=1,'Panel'!$AB$4+SUM($AJ$5:AJ425),"")</f>
        <v/>
      </c>
      <c r="AL425">
        <f>IF(AI425=0,N(AL424),IF(R425&lt;0,N(AL424)+1,0))</f>
        <v>1</v>
      </c>
      <c r="AM425">
        <f>IF(AI425=0,N(AM424),IF(R425&gt;0,N(AM424)+1,0))</f>
        <v>0</v>
      </c>
      <c r="AN425">
        <f>IF(AI425=1,MAX('Panel'!$AB$4,N(AN424),AK425),N(AN424))</f>
        <v>21371.061500000033</v>
      </c>
      <c r="AO425">
        <f>IF(AI425=1,AN425-AK425,0)</f>
        <v>0</v>
      </c>
      <c r="AP425">
        <f>IF(AND(AI425=1,AN425&gt;0),AO425/AN425,0)</f>
        <v>0</v>
      </c>
      <c r="AQ425" t="str">
        <f>IF(AI425=1,SUM($AI$5:AI425),"")</f>
        <v/>
      </c>
      <c r="AR425" t="str">
        <f>IF(AI425=1,IF(COUNTIFS($D$5:D425,D425,$AI$5:AI425,1)=1,SUMIFS($AJ$5:$AJ$504,$D$5:$D$504,D425),""),"")</f>
        <v/>
      </c>
      <c r="AS425" t="str">
        <f>IF(AG425=1,WEEKDAY(D425,2),"")</f>
        <v/>
      </c>
      <c r="AT425" s="31" t="str">
        <f>IF(AG425=1,DATE(YEAR(D425),MONTH(D425),1),"")</f>
        <v/>
      </c>
      <c r="AU425">
        <f>IF(AG425=0,0,IF(AND(OR('Prop challenge'!$D$7="",F425='Prop challenge'!$D$7),OR('Prop challenge'!$D$9="",D425&gt;='Prop challenge'!$D$9)),1,0))</f>
        <v>0</v>
      </c>
      <c r="AV425">
        <f>IF(AU425=1,IF(COUNTIFS($D$5:D425,D425,$AU$5:AU425,1)=1,1,0),0)</f>
        <v>0</v>
      </c>
      <c r="AW425" t="str">
        <f>IF(AV425=1,SUM($AV$5:AV425),"")</f>
        <v/>
      </c>
      <c r="AX425" t="str">
        <f>IF(AV425=1,SUMIFS($R$5:$R$504,$D$5:$D$504,D425,$AU$5:$AU$504,1),"")</f>
        <v/>
      </c>
    </row>
    <row r="426">
      <c r="A426" s="20" t="str">
        <f>IF(AG426=1,ROW()-4,"")</f>
        <v/>
      </c>
      <c r="B426" s="21" t="n"/>
      <c r="C426" s="22" t="n"/>
      <c r="D426" s="21" t="n"/>
      <c r="E426" s="22" t="n"/>
      <c r="F426" s="23" t="n"/>
      <c r="G426" s="23" t="n"/>
      <c r="H426" s="23" t="n"/>
      <c r="I426" s="24" t="n"/>
      <c r="J426" s="25" t="n"/>
      <c r="K426" s="25" t="n"/>
      <c r="L426" s="25" t="n"/>
      <c r="M426" s="25" t="n"/>
      <c r="N426" s="26" t="n"/>
      <c r="O426" s="26" t="n"/>
      <c r="P426" s="27" t="str">
        <f>IF(OR(J426="",K426="",I426="",AF426=0,AD426=""),"",(K426-J426)*AF426*I426*AD426*AE426)</f>
        <v/>
      </c>
      <c r="Q426" s="26" t="n"/>
      <c r="R426" s="28" t="str">
        <f>IF(Q426&lt;&gt;"",Q426,IF(P426="","",P426-N(N426)+N(O426)))</f>
        <v/>
      </c>
      <c r="S426" s="27" t="str">
        <f>IF(OR(L426="",J426="",I426="",AD426=""),"",ABS(J426-L426)*I426*AD426*AE426)</f>
        <v/>
      </c>
      <c r="T426" s="29" t="str">
        <f>IF(OR(R426="",S426="",S426=0),"",R426/S426)</f>
        <v/>
      </c>
      <c r="U426" s="20" t="str">
        <f>IF(R426="","",IF(R426&gt;0,"Ganadora",IF(R426&lt;0,"Perdedora","BE")))</f>
        <v/>
      </c>
      <c r="V426" s="23" t="n"/>
      <c r="W426" s="23" t="n"/>
      <c r="X426" s="23" t="n"/>
      <c r="Y426" s="23" t="n"/>
      <c r="Z426" s="23" t="n"/>
      <c r="AA426" s="23" t="n"/>
      <c r="AB426" s="30" t="n"/>
      <c r="AC426" s="1" t="n"/>
      <c r="AD426" s="1" t="str">
        <f>IF(G426="","",IFERROR(INDEX('Listas'!$N$6:$N$35,MATCH(G426,'Listas'!$M$6:$M$35,0)),""))</f>
        <v/>
      </c>
      <c r="AE426">
        <f>IF(G426="",1,IFERROR(INDEX('Listas'!$P$6:$P$35,MATCH(G426,'Listas'!$M$6:$M$35,0)),1))</f>
        <v>1</v>
      </c>
      <c r="AF426">
        <f>IF(H426="Compra",1,IF(H426="Venta",-1,0))</f>
        <v>0</v>
      </c>
      <c r="AG426">
        <f>IF(AND(D426&lt;&gt;"",ISNUMBER(R426)),1,0)</f>
        <v>0</v>
      </c>
      <c r="AH426">
        <f>IF(AG426=0,0,IF(OR('Panel'!$D$5="Todas las cuentas",'Panel'!$D$5="",F426='Panel'!$D$5),1,0))</f>
        <v>0</v>
      </c>
      <c r="AI426">
        <f>IF(AH426=0,0,IF(AND(OR('Panel'!$G$5="",D426&gt;='Panel'!$G$5),OR('Panel'!$J$5="",D426&lt;='Panel'!$J$5)),1,0))</f>
        <v>0</v>
      </c>
      <c r="AJ426">
        <f>IF(AI426=1,R426,0)</f>
        <v>0</v>
      </c>
      <c r="AK426" t="str">
        <f>IF(AI426=1,'Panel'!$AB$4+SUM($AJ$5:AJ426),"")</f>
        <v/>
      </c>
      <c r="AL426">
        <f>IF(AI426=0,N(AL425),IF(R426&lt;0,N(AL425)+1,0))</f>
        <v>1</v>
      </c>
      <c r="AM426">
        <f>IF(AI426=0,N(AM425),IF(R426&gt;0,N(AM425)+1,0))</f>
        <v>0</v>
      </c>
      <c r="AN426">
        <f>IF(AI426=1,MAX('Panel'!$AB$4,N(AN425),AK426),N(AN425))</f>
        <v>21371.061500000033</v>
      </c>
      <c r="AO426">
        <f>IF(AI426=1,AN426-AK426,0)</f>
        <v>0</v>
      </c>
      <c r="AP426">
        <f>IF(AND(AI426=1,AN426&gt;0),AO426/AN426,0)</f>
        <v>0</v>
      </c>
      <c r="AQ426" t="str">
        <f>IF(AI426=1,SUM($AI$5:AI426),"")</f>
        <v/>
      </c>
      <c r="AR426" t="str">
        <f>IF(AI426=1,IF(COUNTIFS($D$5:D426,D426,$AI$5:AI426,1)=1,SUMIFS($AJ$5:$AJ$504,$D$5:$D$504,D426),""),"")</f>
        <v/>
      </c>
      <c r="AS426" t="str">
        <f>IF(AG426=1,WEEKDAY(D426,2),"")</f>
        <v/>
      </c>
      <c r="AT426" s="31" t="str">
        <f>IF(AG426=1,DATE(YEAR(D426),MONTH(D426),1),"")</f>
        <v/>
      </c>
      <c r="AU426">
        <f>IF(AG426=0,0,IF(AND(OR('Prop challenge'!$D$7="",F426='Prop challenge'!$D$7),OR('Prop challenge'!$D$9="",D426&gt;='Prop challenge'!$D$9)),1,0))</f>
        <v>0</v>
      </c>
      <c r="AV426">
        <f>IF(AU426=1,IF(COUNTIFS($D$5:D426,D426,$AU$5:AU426,1)=1,1,0),0)</f>
        <v>0</v>
      </c>
      <c r="AW426" t="str">
        <f>IF(AV426=1,SUM($AV$5:AV426),"")</f>
        <v/>
      </c>
      <c r="AX426" t="str">
        <f>IF(AV426=1,SUMIFS($R$5:$R$504,$D$5:$D$504,D426,$AU$5:$AU$504,1),"")</f>
        <v/>
      </c>
    </row>
    <row r="427">
      <c r="A427" s="20" t="str">
        <f>IF(AG427=1,ROW()-4,"")</f>
        <v/>
      </c>
      <c r="B427" s="21" t="n"/>
      <c r="C427" s="22" t="n"/>
      <c r="D427" s="21" t="n"/>
      <c r="E427" s="22" t="n"/>
      <c r="F427" s="23" t="n"/>
      <c r="G427" s="23" t="n"/>
      <c r="H427" s="23" t="n"/>
      <c r="I427" s="24" t="n"/>
      <c r="J427" s="25" t="n"/>
      <c r="K427" s="25" t="n"/>
      <c r="L427" s="25" t="n"/>
      <c r="M427" s="25" t="n"/>
      <c r="N427" s="26" t="n"/>
      <c r="O427" s="26" t="n"/>
      <c r="P427" s="27" t="str">
        <f>IF(OR(J427="",K427="",I427="",AF427=0,AD427=""),"",(K427-J427)*AF427*I427*AD427*AE427)</f>
        <v/>
      </c>
      <c r="Q427" s="26" t="n"/>
      <c r="R427" s="28" t="str">
        <f>IF(Q427&lt;&gt;"",Q427,IF(P427="","",P427-N(N427)+N(O427)))</f>
        <v/>
      </c>
      <c r="S427" s="27" t="str">
        <f>IF(OR(L427="",J427="",I427="",AD427=""),"",ABS(J427-L427)*I427*AD427*AE427)</f>
        <v/>
      </c>
      <c r="T427" s="29" t="str">
        <f>IF(OR(R427="",S427="",S427=0),"",R427/S427)</f>
        <v/>
      </c>
      <c r="U427" s="20" t="str">
        <f>IF(R427="","",IF(R427&gt;0,"Ganadora",IF(R427&lt;0,"Perdedora","BE")))</f>
        <v/>
      </c>
      <c r="V427" s="23" t="n"/>
      <c r="W427" s="23" t="n"/>
      <c r="X427" s="23" t="n"/>
      <c r="Y427" s="23" t="n"/>
      <c r="Z427" s="23" t="n"/>
      <c r="AA427" s="23" t="n"/>
      <c r="AB427" s="30" t="n"/>
      <c r="AC427" s="1" t="n"/>
      <c r="AD427" s="1" t="str">
        <f>IF(G427="","",IFERROR(INDEX('Listas'!$N$6:$N$35,MATCH(G427,'Listas'!$M$6:$M$35,0)),""))</f>
        <v/>
      </c>
      <c r="AE427">
        <f>IF(G427="",1,IFERROR(INDEX('Listas'!$P$6:$P$35,MATCH(G427,'Listas'!$M$6:$M$35,0)),1))</f>
        <v>1</v>
      </c>
      <c r="AF427">
        <f>IF(H427="Compra",1,IF(H427="Venta",-1,0))</f>
        <v>0</v>
      </c>
      <c r="AG427">
        <f>IF(AND(D427&lt;&gt;"",ISNUMBER(R427)),1,0)</f>
        <v>0</v>
      </c>
      <c r="AH427">
        <f>IF(AG427=0,0,IF(OR('Panel'!$D$5="Todas las cuentas",'Panel'!$D$5="",F427='Panel'!$D$5),1,0))</f>
        <v>0</v>
      </c>
      <c r="AI427">
        <f>IF(AH427=0,0,IF(AND(OR('Panel'!$G$5="",D427&gt;='Panel'!$G$5),OR('Panel'!$J$5="",D427&lt;='Panel'!$J$5)),1,0))</f>
        <v>0</v>
      </c>
      <c r="AJ427">
        <f>IF(AI427=1,R427,0)</f>
        <v>0</v>
      </c>
      <c r="AK427" t="str">
        <f>IF(AI427=1,'Panel'!$AB$4+SUM($AJ$5:AJ427),"")</f>
        <v/>
      </c>
      <c r="AL427">
        <f>IF(AI427=0,N(AL426),IF(R427&lt;0,N(AL426)+1,0))</f>
        <v>1</v>
      </c>
      <c r="AM427">
        <f>IF(AI427=0,N(AM426),IF(R427&gt;0,N(AM426)+1,0))</f>
        <v>0</v>
      </c>
      <c r="AN427">
        <f>IF(AI427=1,MAX('Panel'!$AB$4,N(AN426),AK427),N(AN426))</f>
        <v>21371.061500000033</v>
      </c>
      <c r="AO427">
        <f>IF(AI427=1,AN427-AK427,0)</f>
        <v>0</v>
      </c>
      <c r="AP427">
        <f>IF(AND(AI427=1,AN427&gt;0),AO427/AN427,0)</f>
        <v>0</v>
      </c>
      <c r="AQ427" t="str">
        <f>IF(AI427=1,SUM($AI$5:AI427),"")</f>
        <v/>
      </c>
      <c r="AR427" t="str">
        <f>IF(AI427=1,IF(COUNTIFS($D$5:D427,D427,$AI$5:AI427,1)=1,SUMIFS($AJ$5:$AJ$504,$D$5:$D$504,D427),""),"")</f>
        <v/>
      </c>
      <c r="AS427" t="str">
        <f>IF(AG427=1,WEEKDAY(D427,2),"")</f>
        <v/>
      </c>
      <c r="AT427" s="31" t="str">
        <f>IF(AG427=1,DATE(YEAR(D427),MONTH(D427),1),"")</f>
        <v/>
      </c>
      <c r="AU427">
        <f>IF(AG427=0,0,IF(AND(OR('Prop challenge'!$D$7="",F427='Prop challenge'!$D$7),OR('Prop challenge'!$D$9="",D427&gt;='Prop challenge'!$D$9)),1,0))</f>
        <v>0</v>
      </c>
      <c r="AV427">
        <f>IF(AU427=1,IF(COUNTIFS($D$5:D427,D427,$AU$5:AU427,1)=1,1,0),0)</f>
        <v>0</v>
      </c>
      <c r="AW427" t="str">
        <f>IF(AV427=1,SUM($AV$5:AV427),"")</f>
        <v/>
      </c>
      <c r="AX427" t="str">
        <f>IF(AV427=1,SUMIFS($R$5:$R$504,$D$5:$D$504,D427,$AU$5:$AU$504,1),"")</f>
        <v/>
      </c>
    </row>
    <row r="428">
      <c r="A428" s="20" t="str">
        <f>IF(AG428=1,ROW()-4,"")</f>
        <v/>
      </c>
      <c r="B428" s="21" t="n"/>
      <c r="C428" s="22" t="n"/>
      <c r="D428" s="21" t="n"/>
      <c r="E428" s="22" t="n"/>
      <c r="F428" s="23" t="n"/>
      <c r="G428" s="23" t="n"/>
      <c r="H428" s="23" t="n"/>
      <c r="I428" s="24" t="n"/>
      <c r="J428" s="25" t="n"/>
      <c r="K428" s="25" t="n"/>
      <c r="L428" s="25" t="n"/>
      <c r="M428" s="25" t="n"/>
      <c r="N428" s="26" t="n"/>
      <c r="O428" s="26" t="n"/>
      <c r="P428" s="27" t="str">
        <f>IF(OR(J428="",K428="",I428="",AF428=0,AD428=""),"",(K428-J428)*AF428*I428*AD428*AE428)</f>
        <v/>
      </c>
      <c r="Q428" s="26" t="n"/>
      <c r="R428" s="28" t="str">
        <f>IF(Q428&lt;&gt;"",Q428,IF(P428="","",P428-N(N428)+N(O428)))</f>
        <v/>
      </c>
      <c r="S428" s="27" t="str">
        <f>IF(OR(L428="",J428="",I428="",AD428=""),"",ABS(J428-L428)*I428*AD428*AE428)</f>
        <v/>
      </c>
      <c r="T428" s="29" t="str">
        <f>IF(OR(R428="",S428="",S428=0),"",R428/S428)</f>
        <v/>
      </c>
      <c r="U428" s="20" t="str">
        <f>IF(R428="","",IF(R428&gt;0,"Ganadora",IF(R428&lt;0,"Perdedora","BE")))</f>
        <v/>
      </c>
      <c r="V428" s="23" t="n"/>
      <c r="W428" s="23" t="n"/>
      <c r="X428" s="23" t="n"/>
      <c r="Y428" s="23" t="n"/>
      <c r="Z428" s="23" t="n"/>
      <c r="AA428" s="23" t="n"/>
      <c r="AB428" s="30" t="n"/>
      <c r="AC428" s="1" t="n"/>
      <c r="AD428" s="1" t="str">
        <f>IF(G428="","",IFERROR(INDEX('Listas'!$N$6:$N$35,MATCH(G428,'Listas'!$M$6:$M$35,0)),""))</f>
        <v/>
      </c>
      <c r="AE428">
        <f>IF(G428="",1,IFERROR(INDEX('Listas'!$P$6:$P$35,MATCH(G428,'Listas'!$M$6:$M$35,0)),1))</f>
        <v>1</v>
      </c>
      <c r="AF428">
        <f>IF(H428="Compra",1,IF(H428="Venta",-1,0))</f>
        <v>0</v>
      </c>
      <c r="AG428">
        <f>IF(AND(D428&lt;&gt;"",ISNUMBER(R428)),1,0)</f>
        <v>0</v>
      </c>
      <c r="AH428">
        <f>IF(AG428=0,0,IF(OR('Panel'!$D$5="Todas las cuentas",'Panel'!$D$5="",F428='Panel'!$D$5),1,0))</f>
        <v>0</v>
      </c>
      <c r="AI428">
        <f>IF(AH428=0,0,IF(AND(OR('Panel'!$G$5="",D428&gt;='Panel'!$G$5),OR('Panel'!$J$5="",D428&lt;='Panel'!$J$5)),1,0))</f>
        <v>0</v>
      </c>
      <c r="AJ428">
        <f>IF(AI428=1,R428,0)</f>
        <v>0</v>
      </c>
      <c r="AK428" t="str">
        <f>IF(AI428=1,'Panel'!$AB$4+SUM($AJ$5:AJ428),"")</f>
        <v/>
      </c>
      <c r="AL428">
        <f>IF(AI428=0,N(AL427),IF(R428&lt;0,N(AL427)+1,0))</f>
        <v>1</v>
      </c>
      <c r="AM428">
        <f>IF(AI428=0,N(AM427),IF(R428&gt;0,N(AM427)+1,0))</f>
        <v>0</v>
      </c>
      <c r="AN428">
        <f>IF(AI428=1,MAX('Panel'!$AB$4,N(AN427),AK428),N(AN427))</f>
        <v>21371.061500000033</v>
      </c>
      <c r="AO428">
        <f>IF(AI428=1,AN428-AK428,0)</f>
        <v>0</v>
      </c>
      <c r="AP428">
        <f>IF(AND(AI428=1,AN428&gt;0),AO428/AN428,0)</f>
        <v>0</v>
      </c>
      <c r="AQ428" t="str">
        <f>IF(AI428=1,SUM($AI$5:AI428),"")</f>
        <v/>
      </c>
      <c r="AR428" t="str">
        <f>IF(AI428=1,IF(COUNTIFS($D$5:D428,D428,$AI$5:AI428,1)=1,SUMIFS($AJ$5:$AJ$504,$D$5:$D$504,D428),""),"")</f>
        <v/>
      </c>
      <c r="AS428" t="str">
        <f>IF(AG428=1,WEEKDAY(D428,2),"")</f>
        <v/>
      </c>
      <c r="AT428" s="31" t="str">
        <f>IF(AG428=1,DATE(YEAR(D428),MONTH(D428),1),"")</f>
        <v/>
      </c>
      <c r="AU428">
        <f>IF(AG428=0,0,IF(AND(OR('Prop challenge'!$D$7="",F428='Prop challenge'!$D$7),OR('Prop challenge'!$D$9="",D428&gt;='Prop challenge'!$D$9)),1,0))</f>
        <v>0</v>
      </c>
      <c r="AV428">
        <f>IF(AU428=1,IF(COUNTIFS($D$5:D428,D428,$AU$5:AU428,1)=1,1,0),0)</f>
        <v>0</v>
      </c>
      <c r="AW428" t="str">
        <f>IF(AV428=1,SUM($AV$5:AV428),"")</f>
        <v/>
      </c>
      <c r="AX428" t="str">
        <f>IF(AV428=1,SUMIFS($R$5:$R$504,$D$5:$D$504,D428,$AU$5:$AU$504,1),"")</f>
        <v/>
      </c>
    </row>
    <row r="429">
      <c r="A429" s="20" t="str">
        <f>IF(AG429=1,ROW()-4,"")</f>
        <v/>
      </c>
      <c r="B429" s="21" t="n"/>
      <c r="C429" s="22" t="n"/>
      <c r="D429" s="21" t="n"/>
      <c r="E429" s="22" t="n"/>
      <c r="F429" s="23" t="n"/>
      <c r="G429" s="23" t="n"/>
      <c r="H429" s="23" t="n"/>
      <c r="I429" s="24" t="n"/>
      <c r="J429" s="25" t="n"/>
      <c r="K429" s="25" t="n"/>
      <c r="L429" s="25" t="n"/>
      <c r="M429" s="25" t="n"/>
      <c r="N429" s="26" t="n"/>
      <c r="O429" s="26" t="n"/>
      <c r="P429" s="27" t="str">
        <f>IF(OR(J429="",K429="",I429="",AF429=0,AD429=""),"",(K429-J429)*AF429*I429*AD429*AE429)</f>
        <v/>
      </c>
      <c r="Q429" s="26" t="n"/>
      <c r="R429" s="28" t="str">
        <f>IF(Q429&lt;&gt;"",Q429,IF(P429="","",P429-N(N429)+N(O429)))</f>
        <v/>
      </c>
      <c r="S429" s="27" t="str">
        <f>IF(OR(L429="",J429="",I429="",AD429=""),"",ABS(J429-L429)*I429*AD429*AE429)</f>
        <v/>
      </c>
      <c r="T429" s="29" t="str">
        <f>IF(OR(R429="",S429="",S429=0),"",R429/S429)</f>
        <v/>
      </c>
      <c r="U429" s="20" t="str">
        <f>IF(R429="","",IF(R429&gt;0,"Ganadora",IF(R429&lt;0,"Perdedora","BE")))</f>
        <v/>
      </c>
      <c r="V429" s="23" t="n"/>
      <c r="W429" s="23" t="n"/>
      <c r="X429" s="23" t="n"/>
      <c r="Y429" s="23" t="n"/>
      <c r="Z429" s="23" t="n"/>
      <c r="AA429" s="23" t="n"/>
      <c r="AB429" s="30" t="n"/>
      <c r="AC429" s="1" t="n"/>
      <c r="AD429" s="1" t="str">
        <f>IF(G429="","",IFERROR(INDEX('Listas'!$N$6:$N$35,MATCH(G429,'Listas'!$M$6:$M$35,0)),""))</f>
        <v/>
      </c>
      <c r="AE429">
        <f>IF(G429="",1,IFERROR(INDEX('Listas'!$P$6:$P$35,MATCH(G429,'Listas'!$M$6:$M$35,0)),1))</f>
        <v>1</v>
      </c>
      <c r="AF429">
        <f>IF(H429="Compra",1,IF(H429="Venta",-1,0))</f>
        <v>0</v>
      </c>
      <c r="AG429">
        <f>IF(AND(D429&lt;&gt;"",ISNUMBER(R429)),1,0)</f>
        <v>0</v>
      </c>
      <c r="AH429">
        <f>IF(AG429=0,0,IF(OR('Panel'!$D$5="Todas las cuentas",'Panel'!$D$5="",F429='Panel'!$D$5),1,0))</f>
        <v>0</v>
      </c>
      <c r="AI429">
        <f>IF(AH429=0,0,IF(AND(OR('Panel'!$G$5="",D429&gt;='Panel'!$G$5),OR('Panel'!$J$5="",D429&lt;='Panel'!$J$5)),1,0))</f>
        <v>0</v>
      </c>
      <c r="AJ429">
        <f>IF(AI429=1,R429,0)</f>
        <v>0</v>
      </c>
      <c r="AK429" t="str">
        <f>IF(AI429=1,'Panel'!$AB$4+SUM($AJ$5:AJ429),"")</f>
        <v/>
      </c>
      <c r="AL429">
        <f>IF(AI429=0,N(AL428),IF(R429&lt;0,N(AL428)+1,0))</f>
        <v>1</v>
      </c>
      <c r="AM429">
        <f>IF(AI429=0,N(AM428),IF(R429&gt;0,N(AM428)+1,0))</f>
        <v>0</v>
      </c>
      <c r="AN429">
        <f>IF(AI429=1,MAX('Panel'!$AB$4,N(AN428),AK429),N(AN428))</f>
        <v>21371.061500000033</v>
      </c>
      <c r="AO429">
        <f>IF(AI429=1,AN429-AK429,0)</f>
        <v>0</v>
      </c>
      <c r="AP429">
        <f>IF(AND(AI429=1,AN429&gt;0),AO429/AN429,0)</f>
        <v>0</v>
      </c>
      <c r="AQ429" t="str">
        <f>IF(AI429=1,SUM($AI$5:AI429),"")</f>
        <v/>
      </c>
      <c r="AR429" t="str">
        <f>IF(AI429=1,IF(COUNTIFS($D$5:D429,D429,$AI$5:AI429,1)=1,SUMIFS($AJ$5:$AJ$504,$D$5:$D$504,D429),""),"")</f>
        <v/>
      </c>
      <c r="AS429" t="str">
        <f>IF(AG429=1,WEEKDAY(D429,2),"")</f>
        <v/>
      </c>
      <c r="AT429" s="31" t="str">
        <f>IF(AG429=1,DATE(YEAR(D429),MONTH(D429),1),"")</f>
        <v/>
      </c>
      <c r="AU429">
        <f>IF(AG429=0,0,IF(AND(OR('Prop challenge'!$D$7="",F429='Prop challenge'!$D$7),OR('Prop challenge'!$D$9="",D429&gt;='Prop challenge'!$D$9)),1,0))</f>
        <v>0</v>
      </c>
      <c r="AV429">
        <f>IF(AU429=1,IF(COUNTIFS($D$5:D429,D429,$AU$5:AU429,1)=1,1,0),0)</f>
        <v>0</v>
      </c>
      <c r="AW429" t="str">
        <f>IF(AV429=1,SUM($AV$5:AV429),"")</f>
        <v/>
      </c>
      <c r="AX429" t="str">
        <f>IF(AV429=1,SUMIFS($R$5:$R$504,$D$5:$D$504,D429,$AU$5:$AU$504,1),"")</f>
        <v/>
      </c>
    </row>
    <row r="430">
      <c r="A430" s="20" t="str">
        <f>IF(AG430=1,ROW()-4,"")</f>
        <v/>
      </c>
      <c r="B430" s="21" t="n"/>
      <c r="C430" s="22" t="n"/>
      <c r="D430" s="21" t="n"/>
      <c r="E430" s="22" t="n"/>
      <c r="F430" s="23" t="n"/>
      <c r="G430" s="23" t="n"/>
      <c r="H430" s="23" t="n"/>
      <c r="I430" s="24" t="n"/>
      <c r="J430" s="25" t="n"/>
      <c r="K430" s="25" t="n"/>
      <c r="L430" s="25" t="n"/>
      <c r="M430" s="25" t="n"/>
      <c r="N430" s="26" t="n"/>
      <c r="O430" s="26" t="n"/>
      <c r="P430" s="27" t="str">
        <f>IF(OR(J430="",K430="",I430="",AF430=0,AD430=""),"",(K430-J430)*AF430*I430*AD430*AE430)</f>
        <v/>
      </c>
      <c r="Q430" s="26" t="n"/>
      <c r="R430" s="28" t="str">
        <f>IF(Q430&lt;&gt;"",Q430,IF(P430="","",P430-N(N430)+N(O430)))</f>
        <v/>
      </c>
      <c r="S430" s="27" t="str">
        <f>IF(OR(L430="",J430="",I430="",AD430=""),"",ABS(J430-L430)*I430*AD430*AE430)</f>
        <v/>
      </c>
      <c r="T430" s="29" t="str">
        <f>IF(OR(R430="",S430="",S430=0),"",R430/S430)</f>
        <v/>
      </c>
      <c r="U430" s="20" t="str">
        <f>IF(R430="","",IF(R430&gt;0,"Ganadora",IF(R430&lt;0,"Perdedora","BE")))</f>
        <v/>
      </c>
      <c r="V430" s="23" t="n"/>
      <c r="W430" s="23" t="n"/>
      <c r="X430" s="23" t="n"/>
      <c r="Y430" s="23" t="n"/>
      <c r="Z430" s="23" t="n"/>
      <c r="AA430" s="23" t="n"/>
      <c r="AB430" s="30" t="n"/>
      <c r="AC430" s="1" t="n"/>
      <c r="AD430" s="1" t="str">
        <f>IF(G430="","",IFERROR(INDEX('Listas'!$N$6:$N$35,MATCH(G430,'Listas'!$M$6:$M$35,0)),""))</f>
        <v/>
      </c>
      <c r="AE430">
        <f>IF(G430="",1,IFERROR(INDEX('Listas'!$P$6:$P$35,MATCH(G430,'Listas'!$M$6:$M$35,0)),1))</f>
        <v>1</v>
      </c>
      <c r="AF430">
        <f>IF(H430="Compra",1,IF(H430="Venta",-1,0))</f>
        <v>0</v>
      </c>
      <c r="AG430">
        <f>IF(AND(D430&lt;&gt;"",ISNUMBER(R430)),1,0)</f>
        <v>0</v>
      </c>
      <c r="AH430">
        <f>IF(AG430=0,0,IF(OR('Panel'!$D$5="Todas las cuentas",'Panel'!$D$5="",F430='Panel'!$D$5),1,0))</f>
        <v>0</v>
      </c>
      <c r="AI430">
        <f>IF(AH430=0,0,IF(AND(OR('Panel'!$G$5="",D430&gt;='Panel'!$G$5),OR('Panel'!$J$5="",D430&lt;='Panel'!$J$5)),1,0))</f>
        <v>0</v>
      </c>
      <c r="AJ430">
        <f>IF(AI430=1,R430,0)</f>
        <v>0</v>
      </c>
      <c r="AK430" t="str">
        <f>IF(AI430=1,'Panel'!$AB$4+SUM($AJ$5:AJ430),"")</f>
        <v/>
      </c>
      <c r="AL430">
        <f>IF(AI430=0,N(AL429),IF(R430&lt;0,N(AL429)+1,0))</f>
        <v>1</v>
      </c>
      <c r="AM430">
        <f>IF(AI430=0,N(AM429),IF(R430&gt;0,N(AM429)+1,0))</f>
        <v>0</v>
      </c>
      <c r="AN430">
        <f>IF(AI430=1,MAX('Panel'!$AB$4,N(AN429),AK430),N(AN429))</f>
        <v>21371.061500000033</v>
      </c>
      <c r="AO430">
        <f>IF(AI430=1,AN430-AK430,0)</f>
        <v>0</v>
      </c>
      <c r="AP430">
        <f>IF(AND(AI430=1,AN430&gt;0),AO430/AN430,0)</f>
        <v>0</v>
      </c>
      <c r="AQ430" t="str">
        <f>IF(AI430=1,SUM($AI$5:AI430),"")</f>
        <v/>
      </c>
      <c r="AR430" t="str">
        <f>IF(AI430=1,IF(COUNTIFS($D$5:D430,D430,$AI$5:AI430,1)=1,SUMIFS($AJ$5:$AJ$504,$D$5:$D$504,D430),""),"")</f>
        <v/>
      </c>
      <c r="AS430" t="str">
        <f>IF(AG430=1,WEEKDAY(D430,2),"")</f>
        <v/>
      </c>
      <c r="AT430" s="31" t="str">
        <f>IF(AG430=1,DATE(YEAR(D430),MONTH(D430),1),"")</f>
        <v/>
      </c>
      <c r="AU430">
        <f>IF(AG430=0,0,IF(AND(OR('Prop challenge'!$D$7="",F430='Prop challenge'!$D$7),OR('Prop challenge'!$D$9="",D430&gt;='Prop challenge'!$D$9)),1,0))</f>
        <v>0</v>
      </c>
      <c r="AV430">
        <f>IF(AU430=1,IF(COUNTIFS($D$5:D430,D430,$AU$5:AU430,1)=1,1,0),0)</f>
        <v>0</v>
      </c>
      <c r="AW430" t="str">
        <f>IF(AV430=1,SUM($AV$5:AV430),"")</f>
        <v/>
      </c>
      <c r="AX430" t="str">
        <f>IF(AV430=1,SUMIFS($R$5:$R$504,$D$5:$D$504,D430,$AU$5:$AU$504,1),"")</f>
        <v/>
      </c>
    </row>
    <row r="431">
      <c r="A431" s="20" t="str">
        <f>IF(AG431=1,ROW()-4,"")</f>
        <v/>
      </c>
      <c r="B431" s="21" t="n"/>
      <c r="C431" s="22" t="n"/>
      <c r="D431" s="21" t="n"/>
      <c r="E431" s="22" t="n"/>
      <c r="F431" s="23" t="n"/>
      <c r="G431" s="23" t="n"/>
      <c r="H431" s="23" t="n"/>
      <c r="I431" s="24" t="n"/>
      <c r="J431" s="25" t="n"/>
      <c r="K431" s="25" t="n"/>
      <c r="L431" s="25" t="n"/>
      <c r="M431" s="25" t="n"/>
      <c r="N431" s="26" t="n"/>
      <c r="O431" s="26" t="n"/>
      <c r="P431" s="27" t="str">
        <f>IF(OR(J431="",K431="",I431="",AF431=0,AD431=""),"",(K431-J431)*AF431*I431*AD431*AE431)</f>
        <v/>
      </c>
      <c r="Q431" s="26" t="n"/>
      <c r="R431" s="28" t="str">
        <f>IF(Q431&lt;&gt;"",Q431,IF(P431="","",P431-N(N431)+N(O431)))</f>
        <v/>
      </c>
      <c r="S431" s="27" t="str">
        <f>IF(OR(L431="",J431="",I431="",AD431=""),"",ABS(J431-L431)*I431*AD431*AE431)</f>
        <v/>
      </c>
      <c r="T431" s="29" t="str">
        <f>IF(OR(R431="",S431="",S431=0),"",R431/S431)</f>
        <v/>
      </c>
      <c r="U431" s="20" t="str">
        <f>IF(R431="","",IF(R431&gt;0,"Ganadora",IF(R431&lt;0,"Perdedora","BE")))</f>
        <v/>
      </c>
      <c r="V431" s="23" t="n"/>
      <c r="W431" s="23" t="n"/>
      <c r="X431" s="23" t="n"/>
      <c r="Y431" s="23" t="n"/>
      <c r="Z431" s="23" t="n"/>
      <c r="AA431" s="23" t="n"/>
      <c r="AB431" s="30" t="n"/>
      <c r="AC431" s="1" t="n"/>
      <c r="AD431" s="1" t="str">
        <f>IF(G431="","",IFERROR(INDEX('Listas'!$N$6:$N$35,MATCH(G431,'Listas'!$M$6:$M$35,0)),""))</f>
        <v/>
      </c>
      <c r="AE431">
        <f>IF(G431="",1,IFERROR(INDEX('Listas'!$P$6:$P$35,MATCH(G431,'Listas'!$M$6:$M$35,0)),1))</f>
        <v>1</v>
      </c>
      <c r="AF431">
        <f>IF(H431="Compra",1,IF(H431="Venta",-1,0))</f>
        <v>0</v>
      </c>
      <c r="AG431">
        <f>IF(AND(D431&lt;&gt;"",ISNUMBER(R431)),1,0)</f>
        <v>0</v>
      </c>
      <c r="AH431">
        <f>IF(AG431=0,0,IF(OR('Panel'!$D$5="Todas las cuentas",'Panel'!$D$5="",F431='Panel'!$D$5),1,0))</f>
        <v>0</v>
      </c>
      <c r="AI431">
        <f>IF(AH431=0,0,IF(AND(OR('Panel'!$G$5="",D431&gt;='Panel'!$G$5),OR('Panel'!$J$5="",D431&lt;='Panel'!$J$5)),1,0))</f>
        <v>0</v>
      </c>
      <c r="AJ431">
        <f>IF(AI431=1,R431,0)</f>
        <v>0</v>
      </c>
      <c r="AK431" t="str">
        <f>IF(AI431=1,'Panel'!$AB$4+SUM($AJ$5:AJ431),"")</f>
        <v/>
      </c>
      <c r="AL431">
        <f>IF(AI431=0,N(AL430),IF(R431&lt;0,N(AL430)+1,0))</f>
        <v>1</v>
      </c>
      <c r="AM431">
        <f>IF(AI431=0,N(AM430),IF(R431&gt;0,N(AM430)+1,0))</f>
        <v>0</v>
      </c>
      <c r="AN431">
        <f>IF(AI431=1,MAX('Panel'!$AB$4,N(AN430),AK431),N(AN430))</f>
        <v>21371.061500000033</v>
      </c>
      <c r="AO431">
        <f>IF(AI431=1,AN431-AK431,0)</f>
        <v>0</v>
      </c>
      <c r="AP431">
        <f>IF(AND(AI431=1,AN431&gt;0),AO431/AN431,0)</f>
        <v>0</v>
      </c>
      <c r="AQ431" t="str">
        <f>IF(AI431=1,SUM($AI$5:AI431),"")</f>
        <v/>
      </c>
      <c r="AR431" t="str">
        <f>IF(AI431=1,IF(COUNTIFS($D$5:D431,D431,$AI$5:AI431,1)=1,SUMIFS($AJ$5:$AJ$504,$D$5:$D$504,D431),""),"")</f>
        <v/>
      </c>
      <c r="AS431" t="str">
        <f>IF(AG431=1,WEEKDAY(D431,2),"")</f>
        <v/>
      </c>
      <c r="AT431" s="31" t="str">
        <f>IF(AG431=1,DATE(YEAR(D431),MONTH(D431),1),"")</f>
        <v/>
      </c>
      <c r="AU431">
        <f>IF(AG431=0,0,IF(AND(OR('Prop challenge'!$D$7="",F431='Prop challenge'!$D$7),OR('Prop challenge'!$D$9="",D431&gt;='Prop challenge'!$D$9)),1,0))</f>
        <v>0</v>
      </c>
      <c r="AV431">
        <f>IF(AU431=1,IF(COUNTIFS($D$5:D431,D431,$AU$5:AU431,1)=1,1,0),0)</f>
        <v>0</v>
      </c>
      <c r="AW431" t="str">
        <f>IF(AV431=1,SUM($AV$5:AV431),"")</f>
        <v/>
      </c>
      <c r="AX431" t="str">
        <f>IF(AV431=1,SUMIFS($R$5:$R$504,$D$5:$D$504,D431,$AU$5:$AU$504,1),"")</f>
        <v/>
      </c>
    </row>
    <row r="432">
      <c r="A432" s="20" t="str">
        <f>IF(AG432=1,ROW()-4,"")</f>
        <v/>
      </c>
      <c r="B432" s="21" t="n"/>
      <c r="C432" s="22" t="n"/>
      <c r="D432" s="21" t="n"/>
      <c r="E432" s="22" t="n"/>
      <c r="F432" s="23" t="n"/>
      <c r="G432" s="23" t="n"/>
      <c r="H432" s="23" t="n"/>
      <c r="I432" s="24" t="n"/>
      <c r="J432" s="25" t="n"/>
      <c r="K432" s="25" t="n"/>
      <c r="L432" s="25" t="n"/>
      <c r="M432" s="25" t="n"/>
      <c r="N432" s="26" t="n"/>
      <c r="O432" s="26" t="n"/>
      <c r="P432" s="27" t="str">
        <f>IF(OR(J432="",K432="",I432="",AF432=0,AD432=""),"",(K432-J432)*AF432*I432*AD432*AE432)</f>
        <v/>
      </c>
      <c r="Q432" s="26" t="n"/>
      <c r="R432" s="28" t="str">
        <f>IF(Q432&lt;&gt;"",Q432,IF(P432="","",P432-N(N432)+N(O432)))</f>
        <v/>
      </c>
      <c r="S432" s="27" t="str">
        <f>IF(OR(L432="",J432="",I432="",AD432=""),"",ABS(J432-L432)*I432*AD432*AE432)</f>
        <v/>
      </c>
      <c r="T432" s="29" t="str">
        <f>IF(OR(R432="",S432="",S432=0),"",R432/S432)</f>
        <v/>
      </c>
      <c r="U432" s="20" t="str">
        <f>IF(R432="","",IF(R432&gt;0,"Ganadora",IF(R432&lt;0,"Perdedora","BE")))</f>
        <v/>
      </c>
      <c r="V432" s="23" t="n"/>
      <c r="W432" s="23" t="n"/>
      <c r="X432" s="23" t="n"/>
      <c r="Y432" s="23" t="n"/>
      <c r="Z432" s="23" t="n"/>
      <c r="AA432" s="23" t="n"/>
      <c r="AB432" s="30" t="n"/>
      <c r="AC432" s="1" t="n"/>
      <c r="AD432" s="1" t="str">
        <f>IF(G432="","",IFERROR(INDEX('Listas'!$N$6:$N$35,MATCH(G432,'Listas'!$M$6:$M$35,0)),""))</f>
        <v/>
      </c>
      <c r="AE432">
        <f>IF(G432="",1,IFERROR(INDEX('Listas'!$P$6:$P$35,MATCH(G432,'Listas'!$M$6:$M$35,0)),1))</f>
        <v>1</v>
      </c>
      <c r="AF432">
        <f>IF(H432="Compra",1,IF(H432="Venta",-1,0))</f>
        <v>0</v>
      </c>
      <c r="AG432">
        <f>IF(AND(D432&lt;&gt;"",ISNUMBER(R432)),1,0)</f>
        <v>0</v>
      </c>
      <c r="AH432">
        <f>IF(AG432=0,0,IF(OR('Panel'!$D$5="Todas las cuentas",'Panel'!$D$5="",F432='Panel'!$D$5),1,0))</f>
        <v>0</v>
      </c>
      <c r="AI432">
        <f>IF(AH432=0,0,IF(AND(OR('Panel'!$G$5="",D432&gt;='Panel'!$G$5),OR('Panel'!$J$5="",D432&lt;='Panel'!$J$5)),1,0))</f>
        <v>0</v>
      </c>
      <c r="AJ432">
        <f>IF(AI432=1,R432,0)</f>
        <v>0</v>
      </c>
      <c r="AK432" t="str">
        <f>IF(AI432=1,'Panel'!$AB$4+SUM($AJ$5:AJ432),"")</f>
        <v/>
      </c>
      <c r="AL432">
        <f>IF(AI432=0,N(AL431),IF(R432&lt;0,N(AL431)+1,0))</f>
        <v>1</v>
      </c>
      <c r="AM432">
        <f>IF(AI432=0,N(AM431),IF(R432&gt;0,N(AM431)+1,0))</f>
        <v>0</v>
      </c>
      <c r="AN432">
        <f>IF(AI432=1,MAX('Panel'!$AB$4,N(AN431),AK432),N(AN431))</f>
        <v>21371.061500000033</v>
      </c>
      <c r="AO432">
        <f>IF(AI432=1,AN432-AK432,0)</f>
        <v>0</v>
      </c>
      <c r="AP432">
        <f>IF(AND(AI432=1,AN432&gt;0),AO432/AN432,0)</f>
        <v>0</v>
      </c>
      <c r="AQ432" t="str">
        <f>IF(AI432=1,SUM($AI$5:AI432),"")</f>
        <v/>
      </c>
      <c r="AR432" t="str">
        <f>IF(AI432=1,IF(COUNTIFS($D$5:D432,D432,$AI$5:AI432,1)=1,SUMIFS($AJ$5:$AJ$504,$D$5:$D$504,D432),""),"")</f>
        <v/>
      </c>
      <c r="AS432" t="str">
        <f>IF(AG432=1,WEEKDAY(D432,2),"")</f>
        <v/>
      </c>
      <c r="AT432" s="31" t="str">
        <f>IF(AG432=1,DATE(YEAR(D432),MONTH(D432),1),"")</f>
        <v/>
      </c>
      <c r="AU432">
        <f>IF(AG432=0,0,IF(AND(OR('Prop challenge'!$D$7="",F432='Prop challenge'!$D$7),OR('Prop challenge'!$D$9="",D432&gt;='Prop challenge'!$D$9)),1,0))</f>
        <v>0</v>
      </c>
      <c r="AV432">
        <f>IF(AU432=1,IF(COUNTIFS($D$5:D432,D432,$AU$5:AU432,1)=1,1,0),0)</f>
        <v>0</v>
      </c>
      <c r="AW432" t="str">
        <f>IF(AV432=1,SUM($AV$5:AV432),"")</f>
        <v/>
      </c>
      <c r="AX432" t="str">
        <f>IF(AV432=1,SUMIFS($R$5:$R$504,$D$5:$D$504,D432,$AU$5:$AU$504,1),"")</f>
        <v/>
      </c>
    </row>
    <row r="433">
      <c r="A433" s="20" t="str">
        <f>IF(AG433=1,ROW()-4,"")</f>
        <v/>
      </c>
      <c r="B433" s="21" t="n"/>
      <c r="C433" s="22" t="n"/>
      <c r="D433" s="21" t="n"/>
      <c r="E433" s="22" t="n"/>
      <c r="F433" s="23" t="n"/>
      <c r="G433" s="23" t="n"/>
      <c r="H433" s="23" t="n"/>
      <c r="I433" s="24" t="n"/>
      <c r="J433" s="25" t="n"/>
      <c r="K433" s="25" t="n"/>
      <c r="L433" s="25" t="n"/>
      <c r="M433" s="25" t="n"/>
      <c r="N433" s="26" t="n"/>
      <c r="O433" s="26" t="n"/>
      <c r="P433" s="27" t="str">
        <f>IF(OR(J433="",K433="",I433="",AF433=0,AD433=""),"",(K433-J433)*AF433*I433*AD433*AE433)</f>
        <v/>
      </c>
      <c r="Q433" s="26" t="n"/>
      <c r="R433" s="28" t="str">
        <f>IF(Q433&lt;&gt;"",Q433,IF(P433="","",P433-N(N433)+N(O433)))</f>
        <v/>
      </c>
      <c r="S433" s="27" t="str">
        <f>IF(OR(L433="",J433="",I433="",AD433=""),"",ABS(J433-L433)*I433*AD433*AE433)</f>
        <v/>
      </c>
      <c r="T433" s="29" t="str">
        <f>IF(OR(R433="",S433="",S433=0),"",R433/S433)</f>
        <v/>
      </c>
      <c r="U433" s="20" t="str">
        <f>IF(R433="","",IF(R433&gt;0,"Ganadora",IF(R433&lt;0,"Perdedora","BE")))</f>
        <v/>
      </c>
      <c r="V433" s="23" t="n"/>
      <c r="W433" s="23" t="n"/>
      <c r="X433" s="23" t="n"/>
      <c r="Y433" s="23" t="n"/>
      <c r="Z433" s="23" t="n"/>
      <c r="AA433" s="23" t="n"/>
      <c r="AB433" s="30" t="n"/>
      <c r="AC433" s="1" t="n"/>
      <c r="AD433" s="1" t="str">
        <f>IF(G433="","",IFERROR(INDEX('Listas'!$N$6:$N$35,MATCH(G433,'Listas'!$M$6:$M$35,0)),""))</f>
        <v/>
      </c>
      <c r="AE433">
        <f>IF(G433="",1,IFERROR(INDEX('Listas'!$P$6:$P$35,MATCH(G433,'Listas'!$M$6:$M$35,0)),1))</f>
        <v>1</v>
      </c>
      <c r="AF433">
        <f>IF(H433="Compra",1,IF(H433="Venta",-1,0))</f>
        <v>0</v>
      </c>
      <c r="AG433">
        <f>IF(AND(D433&lt;&gt;"",ISNUMBER(R433)),1,0)</f>
        <v>0</v>
      </c>
      <c r="AH433">
        <f>IF(AG433=0,0,IF(OR('Panel'!$D$5="Todas las cuentas",'Panel'!$D$5="",F433='Panel'!$D$5),1,0))</f>
        <v>0</v>
      </c>
      <c r="AI433">
        <f>IF(AH433=0,0,IF(AND(OR('Panel'!$G$5="",D433&gt;='Panel'!$G$5),OR('Panel'!$J$5="",D433&lt;='Panel'!$J$5)),1,0))</f>
        <v>0</v>
      </c>
      <c r="AJ433">
        <f>IF(AI433=1,R433,0)</f>
        <v>0</v>
      </c>
      <c r="AK433" t="str">
        <f>IF(AI433=1,'Panel'!$AB$4+SUM($AJ$5:AJ433),"")</f>
        <v/>
      </c>
      <c r="AL433">
        <f>IF(AI433=0,N(AL432),IF(R433&lt;0,N(AL432)+1,0))</f>
        <v>1</v>
      </c>
      <c r="AM433">
        <f>IF(AI433=0,N(AM432),IF(R433&gt;0,N(AM432)+1,0))</f>
        <v>0</v>
      </c>
      <c r="AN433">
        <f>IF(AI433=1,MAX('Panel'!$AB$4,N(AN432),AK433),N(AN432))</f>
        <v>21371.061500000033</v>
      </c>
      <c r="AO433">
        <f>IF(AI433=1,AN433-AK433,0)</f>
        <v>0</v>
      </c>
      <c r="AP433">
        <f>IF(AND(AI433=1,AN433&gt;0),AO433/AN433,0)</f>
        <v>0</v>
      </c>
      <c r="AQ433" t="str">
        <f>IF(AI433=1,SUM($AI$5:AI433),"")</f>
        <v/>
      </c>
      <c r="AR433" t="str">
        <f>IF(AI433=1,IF(COUNTIFS($D$5:D433,D433,$AI$5:AI433,1)=1,SUMIFS($AJ$5:$AJ$504,$D$5:$D$504,D433),""),"")</f>
        <v/>
      </c>
      <c r="AS433" t="str">
        <f>IF(AG433=1,WEEKDAY(D433,2),"")</f>
        <v/>
      </c>
      <c r="AT433" s="31" t="str">
        <f>IF(AG433=1,DATE(YEAR(D433),MONTH(D433),1),"")</f>
        <v/>
      </c>
      <c r="AU433">
        <f>IF(AG433=0,0,IF(AND(OR('Prop challenge'!$D$7="",F433='Prop challenge'!$D$7),OR('Prop challenge'!$D$9="",D433&gt;='Prop challenge'!$D$9)),1,0))</f>
        <v>0</v>
      </c>
      <c r="AV433">
        <f>IF(AU433=1,IF(COUNTIFS($D$5:D433,D433,$AU$5:AU433,1)=1,1,0),0)</f>
        <v>0</v>
      </c>
      <c r="AW433" t="str">
        <f>IF(AV433=1,SUM($AV$5:AV433),"")</f>
        <v/>
      </c>
      <c r="AX433" t="str">
        <f>IF(AV433=1,SUMIFS($R$5:$R$504,$D$5:$D$504,D433,$AU$5:$AU$504,1),"")</f>
        <v/>
      </c>
    </row>
    <row r="434">
      <c r="A434" s="20" t="str">
        <f>IF(AG434=1,ROW()-4,"")</f>
        <v/>
      </c>
      <c r="B434" s="21" t="n"/>
      <c r="C434" s="22" t="n"/>
      <c r="D434" s="21" t="n"/>
      <c r="E434" s="22" t="n"/>
      <c r="F434" s="23" t="n"/>
      <c r="G434" s="23" t="n"/>
      <c r="H434" s="23" t="n"/>
      <c r="I434" s="24" t="n"/>
      <c r="J434" s="25" t="n"/>
      <c r="K434" s="25" t="n"/>
      <c r="L434" s="25" t="n"/>
      <c r="M434" s="25" t="n"/>
      <c r="N434" s="26" t="n"/>
      <c r="O434" s="26" t="n"/>
      <c r="P434" s="27" t="str">
        <f>IF(OR(J434="",K434="",I434="",AF434=0,AD434=""),"",(K434-J434)*AF434*I434*AD434*AE434)</f>
        <v/>
      </c>
      <c r="Q434" s="26" t="n"/>
      <c r="R434" s="28" t="str">
        <f>IF(Q434&lt;&gt;"",Q434,IF(P434="","",P434-N(N434)+N(O434)))</f>
        <v/>
      </c>
      <c r="S434" s="27" t="str">
        <f>IF(OR(L434="",J434="",I434="",AD434=""),"",ABS(J434-L434)*I434*AD434*AE434)</f>
        <v/>
      </c>
      <c r="T434" s="29" t="str">
        <f>IF(OR(R434="",S434="",S434=0),"",R434/S434)</f>
        <v/>
      </c>
      <c r="U434" s="20" t="str">
        <f>IF(R434="","",IF(R434&gt;0,"Ganadora",IF(R434&lt;0,"Perdedora","BE")))</f>
        <v/>
      </c>
      <c r="V434" s="23" t="n"/>
      <c r="W434" s="23" t="n"/>
      <c r="X434" s="23" t="n"/>
      <c r="Y434" s="23" t="n"/>
      <c r="Z434" s="23" t="n"/>
      <c r="AA434" s="23" t="n"/>
      <c r="AB434" s="30" t="n"/>
      <c r="AC434" s="1" t="n"/>
      <c r="AD434" s="1" t="str">
        <f>IF(G434="","",IFERROR(INDEX('Listas'!$N$6:$N$35,MATCH(G434,'Listas'!$M$6:$M$35,0)),""))</f>
        <v/>
      </c>
      <c r="AE434">
        <f>IF(G434="",1,IFERROR(INDEX('Listas'!$P$6:$P$35,MATCH(G434,'Listas'!$M$6:$M$35,0)),1))</f>
        <v>1</v>
      </c>
      <c r="AF434">
        <f>IF(H434="Compra",1,IF(H434="Venta",-1,0))</f>
        <v>0</v>
      </c>
      <c r="AG434">
        <f>IF(AND(D434&lt;&gt;"",ISNUMBER(R434)),1,0)</f>
        <v>0</v>
      </c>
      <c r="AH434">
        <f>IF(AG434=0,0,IF(OR('Panel'!$D$5="Todas las cuentas",'Panel'!$D$5="",F434='Panel'!$D$5),1,0))</f>
        <v>0</v>
      </c>
      <c r="AI434">
        <f>IF(AH434=0,0,IF(AND(OR('Panel'!$G$5="",D434&gt;='Panel'!$G$5),OR('Panel'!$J$5="",D434&lt;='Panel'!$J$5)),1,0))</f>
        <v>0</v>
      </c>
      <c r="AJ434">
        <f>IF(AI434=1,R434,0)</f>
        <v>0</v>
      </c>
      <c r="AK434" t="str">
        <f>IF(AI434=1,'Panel'!$AB$4+SUM($AJ$5:AJ434),"")</f>
        <v/>
      </c>
      <c r="AL434">
        <f>IF(AI434=0,N(AL433),IF(R434&lt;0,N(AL433)+1,0))</f>
        <v>1</v>
      </c>
      <c r="AM434">
        <f>IF(AI434=0,N(AM433),IF(R434&gt;0,N(AM433)+1,0))</f>
        <v>0</v>
      </c>
      <c r="AN434">
        <f>IF(AI434=1,MAX('Panel'!$AB$4,N(AN433),AK434),N(AN433))</f>
        <v>21371.061500000033</v>
      </c>
      <c r="AO434">
        <f>IF(AI434=1,AN434-AK434,0)</f>
        <v>0</v>
      </c>
      <c r="AP434">
        <f>IF(AND(AI434=1,AN434&gt;0),AO434/AN434,0)</f>
        <v>0</v>
      </c>
      <c r="AQ434" t="str">
        <f>IF(AI434=1,SUM($AI$5:AI434),"")</f>
        <v/>
      </c>
      <c r="AR434" t="str">
        <f>IF(AI434=1,IF(COUNTIFS($D$5:D434,D434,$AI$5:AI434,1)=1,SUMIFS($AJ$5:$AJ$504,$D$5:$D$504,D434),""),"")</f>
        <v/>
      </c>
      <c r="AS434" t="str">
        <f>IF(AG434=1,WEEKDAY(D434,2),"")</f>
        <v/>
      </c>
      <c r="AT434" s="31" t="str">
        <f>IF(AG434=1,DATE(YEAR(D434),MONTH(D434),1),"")</f>
        <v/>
      </c>
      <c r="AU434">
        <f>IF(AG434=0,0,IF(AND(OR('Prop challenge'!$D$7="",F434='Prop challenge'!$D$7),OR('Prop challenge'!$D$9="",D434&gt;='Prop challenge'!$D$9)),1,0))</f>
        <v>0</v>
      </c>
      <c r="AV434">
        <f>IF(AU434=1,IF(COUNTIFS($D$5:D434,D434,$AU$5:AU434,1)=1,1,0),0)</f>
        <v>0</v>
      </c>
      <c r="AW434" t="str">
        <f>IF(AV434=1,SUM($AV$5:AV434),"")</f>
        <v/>
      </c>
      <c r="AX434" t="str">
        <f>IF(AV434=1,SUMIFS($R$5:$R$504,$D$5:$D$504,D434,$AU$5:$AU$504,1),"")</f>
        <v/>
      </c>
    </row>
    <row r="435">
      <c r="A435" s="20" t="str">
        <f>IF(AG435=1,ROW()-4,"")</f>
        <v/>
      </c>
      <c r="B435" s="21" t="n"/>
      <c r="C435" s="22" t="n"/>
      <c r="D435" s="21" t="n"/>
      <c r="E435" s="22" t="n"/>
      <c r="F435" s="23" t="n"/>
      <c r="G435" s="23" t="n"/>
      <c r="H435" s="23" t="n"/>
      <c r="I435" s="24" t="n"/>
      <c r="J435" s="25" t="n"/>
      <c r="K435" s="25" t="n"/>
      <c r="L435" s="25" t="n"/>
      <c r="M435" s="25" t="n"/>
      <c r="N435" s="26" t="n"/>
      <c r="O435" s="26" t="n"/>
      <c r="P435" s="27" t="str">
        <f>IF(OR(J435="",K435="",I435="",AF435=0,AD435=""),"",(K435-J435)*AF435*I435*AD435*AE435)</f>
        <v/>
      </c>
      <c r="Q435" s="26" t="n"/>
      <c r="R435" s="28" t="str">
        <f>IF(Q435&lt;&gt;"",Q435,IF(P435="","",P435-N(N435)+N(O435)))</f>
        <v/>
      </c>
      <c r="S435" s="27" t="str">
        <f>IF(OR(L435="",J435="",I435="",AD435=""),"",ABS(J435-L435)*I435*AD435*AE435)</f>
        <v/>
      </c>
      <c r="T435" s="29" t="str">
        <f>IF(OR(R435="",S435="",S435=0),"",R435/S435)</f>
        <v/>
      </c>
      <c r="U435" s="20" t="str">
        <f>IF(R435="","",IF(R435&gt;0,"Ganadora",IF(R435&lt;0,"Perdedora","BE")))</f>
        <v/>
      </c>
      <c r="V435" s="23" t="n"/>
      <c r="W435" s="23" t="n"/>
      <c r="X435" s="23" t="n"/>
      <c r="Y435" s="23" t="n"/>
      <c r="Z435" s="23" t="n"/>
      <c r="AA435" s="23" t="n"/>
      <c r="AB435" s="30" t="n"/>
      <c r="AC435" s="1" t="n"/>
      <c r="AD435" s="1" t="str">
        <f>IF(G435="","",IFERROR(INDEX('Listas'!$N$6:$N$35,MATCH(G435,'Listas'!$M$6:$M$35,0)),""))</f>
        <v/>
      </c>
      <c r="AE435">
        <f>IF(G435="",1,IFERROR(INDEX('Listas'!$P$6:$P$35,MATCH(G435,'Listas'!$M$6:$M$35,0)),1))</f>
        <v>1</v>
      </c>
      <c r="AF435">
        <f>IF(H435="Compra",1,IF(H435="Venta",-1,0))</f>
        <v>0</v>
      </c>
      <c r="AG435">
        <f>IF(AND(D435&lt;&gt;"",ISNUMBER(R435)),1,0)</f>
        <v>0</v>
      </c>
      <c r="AH435">
        <f>IF(AG435=0,0,IF(OR('Panel'!$D$5="Todas las cuentas",'Panel'!$D$5="",F435='Panel'!$D$5),1,0))</f>
        <v>0</v>
      </c>
      <c r="AI435">
        <f>IF(AH435=0,0,IF(AND(OR('Panel'!$G$5="",D435&gt;='Panel'!$G$5),OR('Panel'!$J$5="",D435&lt;='Panel'!$J$5)),1,0))</f>
        <v>0</v>
      </c>
      <c r="AJ435">
        <f>IF(AI435=1,R435,0)</f>
        <v>0</v>
      </c>
      <c r="AK435" t="str">
        <f>IF(AI435=1,'Panel'!$AB$4+SUM($AJ$5:AJ435),"")</f>
        <v/>
      </c>
      <c r="AL435">
        <f>IF(AI435=0,N(AL434),IF(R435&lt;0,N(AL434)+1,0))</f>
        <v>1</v>
      </c>
      <c r="AM435">
        <f>IF(AI435=0,N(AM434),IF(R435&gt;0,N(AM434)+1,0))</f>
        <v>0</v>
      </c>
      <c r="AN435">
        <f>IF(AI435=1,MAX('Panel'!$AB$4,N(AN434),AK435),N(AN434))</f>
        <v>21371.061500000033</v>
      </c>
      <c r="AO435">
        <f>IF(AI435=1,AN435-AK435,0)</f>
        <v>0</v>
      </c>
      <c r="AP435">
        <f>IF(AND(AI435=1,AN435&gt;0),AO435/AN435,0)</f>
        <v>0</v>
      </c>
      <c r="AQ435" t="str">
        <f>IF(AI435=1,SUM($AI$5:AI435),"")</f>
        <v/>
      </c>
      <c r="AR435" t="str">
        <f>IF(AI435=1,IF(COUNTIFS($D$5:D435,D435,$AI$5:AI435,1)=1,SUMIFS($AJ$5:$AJ$504,$D$5:$D$504,D435),""),"")</f>
        <v/>
      </c>
      <c r="AS435" t="str">
        <f>IF(AG435=1,WEEKDAY(D435,2),"")</f>
        <v/>
      </c>
      <c r="AT435" s="31" t="str">
        <f>IF(AG435=1,DATE(YEAR(D435),MONTH(D435),1),"")</f>
        <v/>
      </c>
      <c r="AU435">
        <f>IF(AG435=0,0,IF(AND(OR('Prop challenge'!$D$7="",F435='Prop challenge'!$D$7),OR('Prop challenge'!$D$9="",D435&gt;='Prop challenge'!$D$9)),1,0))</f>
        <v>0</v>
      </c>
      <c r="AV435">
        <f>IF(AU435=1,IF(COUNTIFS($D$5:D435,D435,$AU$5:AU435,1)=1,1,0),0)</f>
        <v>0</v>
      </c>
      <c r="AW435" t="str">
        <f>IF(AV435=1,SUM($AV$5:AV435),"")</f>
        <v/>
      </c>
      <c r="AX435" t="str">
        <f>IF(AV435=1,SUMIFS($R$5:$R$504,$D$5:$D$504,D435,$AU$5:$AU$504,1),"")</f>
        <v/>
      </c>
    </row>
    <row r="436">
      <c r="A436" s="20" t="str">
        <f>IF(AG436=1,ROW()-4,"")</f>
        <v/>
      </c>
      <c r="B436" s="21" t="n"/>
      <c r="C436" s="22" t="n"/>
      <c r="D436" s="21" t="n"/>
      <c r="E436" s="22" t="n"/>
      <c r="F436" s="23" t="n"/>
      <c r="G436" s="23" t="n"/>
      <c r="H436" s="23" t="n"/>
      <c r="I436" s="24" t="n"/>
      <c r="J436" s="25" t="n"/>
      <c r="K436" s="25" t="n"/>
      <c r="L436" s="25" t="n"/>
      <c r="M436" s="25" t="n"/>
      <c r="N436" s="26" t="n"/>
      <c r="O436" s="26" t="n"/>
      <c r="P436" s="27" t="str">
        <f>IF(OR(J436="",K436="",I436="",AF436=0,AD436=""),"",(K436-J436)*AF436*I436*AD436*AE436)</f>
        <v/>
      </c>
      <c r="Q436" s="26" t="n"/>
      <c r="R436" s="28" t="str">
        <f>IF(Q436&lt;&gt;"",Q436,IF(P436="","",P436-N(N436)+N(O436)))</f>
        <v/>
      </c>
      <c r="S436" s="27" t="str">
        <f>IF(OR(L436="",J436="",I436="",AD436=""),"",ABS(J436-L436)*I436*AD436*AE436)</f>
        <v/>
      </c>
      <c r="T436" s="29" t="str">
        <f>IF(OR(R436="",S436="",S436=0),"",R436/S436)</f>
        <v/>
      </c>
      <c r="U436" s="20" t="str">
        <f>IF(R436="","",IF(R436&gt;0,"Ganadora",IF(R436&lt;0,"Perdedora","BE")))</f>
        <v/>
      </c>
      <c r="V436" s="23" t="n"/>
      <c r="W436" s="23" t="n"/>
      <c r="X436" s="23" t="n"/>
      <c r="Y436" s="23" t="n"/>
      <c r="Z436" s="23" t="n"/>
      <c r="AA436" s="23" t="n"/>
      <c r="AB436" s="30" t="n"/>
      <c r="AC436" s="1" t="n"/>
      <c r="AD436" s="1" t="str">
        <f>IF(G436="","",IFERROR(INDEX('Listas'!$N$6:$N$35,MATCH(G436,'Listas'!$M$6:$M$35,0)),""))</f>
        <v/>
      </c>
      <c r="AE436">
        <f>IF(G436="",1,IFERROR(INDEX('Listas'!$P$6:$P$35,MATCH(G436,'Listas'!$M$6:$M$35,0)),1))</f>
        <v>1</v>
      </c>
      <c r="AF436">
        <f>IF(H436="Compra",1,IF(H436="Venta",-1,0))</f>
        <v>0</v>
      </c>
      <c r="AG436">
        <f>IF(AND(D436&lt;&gt;"",ISNUMBER(R436)),1,0)</f>
        <v>0</v>
      </c>
      <c r="AH436">
        <f>IF(AG436=0,0,IF(OR('Panel'!$D$5="Todas las cuentas",'Panel'!$D$5="",F436='Panel'!$D$5),1,0))</f>
        <v>0</v>
      </c>
      <c r="AI436">
        <f>IF(AH436=0,0,IF(AND(OR('Panel'!$G$5="",D436&gt;='Panel'!$G$5),OR('Panel'!$J$5="",D436&lt;='Panel'!$J$5)),1,0))</f>
        <v>0</v>
      </c>
      <c r="AJ436">
        <f>IF(AI436=1,R436,0)</f>
        <v>0</v>
      </c>
      <c r="AK436" t="str">
        <f>IF(AI436=1,'Panel'!$AB$4+SUM($AJ$5:AJ436),"")</f>
        <v/>
      </c>
      <c r="AL436">
        <f>IF(AI436=0,N(AL435),IF(R436&lt;0,N(AL435)+1,0))</f>
        <v>1</v>
      </c>
      <c r="AM436">
        <f>IF(AI436=0,N(AM435),IF(R436&gt;0,N(AM435)+1,0))</f>
        <v>0</v>
      </c>
      <c r="AN436">
        <f>IF(AI436=1,MAX('Panel'!$AB$4,N(AN435),AK436),N(AN435))</f>
        <v>21371.061500000033</v>
      </c>
      <c r="AO436">
        <f>IF(AI436=1,AN436-AK436,0)</f>
        <v>0</v>
      </c>
      <c r="AP436">
        <f>IF(AND(AI436=1,AN436&gt;0),AO436/AN436,0)</f>
        <v>0</v>
      </c>
      <c r="AQ436" t="str">
        <f>IF(AI436=1,SUM($AI$5:AI436),"")</f>
        <v/>
      </c>
      <c r="AR436" t="str">
        <f>IF(AI436=1,IF(COUNTIFS($D$5:D436,D436,$AI$5:AI436,1)=1,SUMIFS($AJ$5:$AJ$504,$D$5:$D$504,D436),""),"")</f>
        <v/>
      </c>
      <c r="AS436" t="str">
        <f>IF(AG436=1,WEEKDAY(D436,2),"")</f>
        <v/>
      </c>
      <c r="AT436" s="31" t="str">
        <f>IF(AG436=1,DATE(YEAR(D436),MONTH(D436),1),"")</f>
        <v/>
      </c>
      <c r="AU436">
        <f>IF(AG436=0,0,IF(AND(OR('Prop challenge'!$D$7="",F436='Prop challenge'!$D$7),OR('Prop challenge'!$D$9="",D436&gt;='Prop challenge'!$D$9)),1,0))</f>
        <v>0</v>
      </c>
      <c r="AV436">
        <f>IF(AU436=1,IF(COUNTIFS($D$5:D436,D436,$AU$5:AU436,1)=1,1,0),0)</f>
        <v>0</v>
      </c>
      <c r="AW436" t="str">
        <f>IF(AV436=1,SUM($AV$5:AV436),"")</f>
        <v/>
      </c>
      <c r="AX436" t="str">
        <f>IF(AV436=1,SUMIFS($R$5:$R$504,$D$5:$D$504,D436,$AU$5:$AU$504,1),"")</f>
        <v/>
      </c>
    </row>
    <row r="437">
      <c r="A437" s="20" t="str">
        <f>IF(AG437=1,ROW()-4,"")</f>
        <v/>
      </c>
      <c r="B437" s="21" t="n"/>
      <c r="C437" s="22" t="n"/>
      <c r="D437" s="21" t="n"/>
      <c r="E437" s="22" t="n"/>
      <c r="F437" s="23" t="n"/>
      <c r="G437" s="23" t="n"/>
      <c r="H437" s="23" t="n"/>
      <c r="I437" s="24" t="n"/>
      <c r="J437" s="25" t="n"/>
      <c r="K437" s="25" t="n"/>
      <c r="L437" s="25" t="n"/>
      <c r="M437" s="25" t="n"/>
      <c r="N437" s="26" t="n"/>
      <c r="O437" s="26" t="n"/>
      <c r="P437" s="27" t="str">
        <f>IF(OR(J437="",K437="",I437="",AF437=0,AD437=""),"",(K437-J437)*AF437*I437*AD437*AE437)</f>
        <v/>
      </c>
      <c r="Q437" s="26" t="n"/>
      <c r="R437" s="28" t="str">
        <f>IF(Q437&lt;&gt;"",Q437,IF(P437="","",P437-N(N437)+N(O437)))</f>
        <v/>
      </c>
      <c r="S437" s="27" t="str">
        <f>IF(OR(L437="",J437="",I437="",AD437=""),"",ABS(J437-L437)*I437*AD437*AE437)</f>
        <v/>
      </c>
      <c r="T437" s="29" t="str">
        <f>IF(OR(R437="",S437="",S437=0),"",R437/S437)</f>
        <v/>
      </c>
      <c r="U437" s="20" t="str">
        <f>IF(R437="","",IF(R437&gt;0,"Ganadora",IF(R437&lt;0,"Perdedora","BE")))</f>
        <v/>
      </c>
      <c r="V437" s="23" t="n"/>
      <c r="W437" s="23" t="n"/>
      <c r="X437" s="23" t="n"/>
      <c r="Y437" s="23" t="n"/>
      <c r="Z437" s="23" t="n"/>
      <c r="AA437" s="23" t="n"/>
      <c r="AB437" s="30" t="n"/>
      <c r="AC437" s="1" t="n"/>
      <c r="AD437" s="1" t="str">
        <f>IF(G437="","",IFERROR(INDEX('Listas'!$N$6:$N$35,MATCH(G437,'Listas'!$M$6:$M$35,0)),""))</f>
        <v/>
      </c>
      <c r="AE437">
        <f>IF(G437="",1,IFERROR(INDEX('Listas'!$P$6:$P$35,MATCH(G437,'Listas'!$M$6:$M$35,0)),1))</f>
        <v>1</v>
      </c>
      <c r="AF437">
        <f>IF(H437="Compra",1,IF(H437="Venta",-1,0))</f>
        <v>0</v>
      </c>
      <c r="AG437">
        <f>IF(AND(D437&lt;&gt;"",ISNUMBER(R437)),1,0)</f>
        <v>0</v>
      </c>
      <c r="AH437">
        <f>IF(AG437=0,0,IF(OR('Panel'!$D$5="Todas las cuentas",'Panel'!$D$5="",F437='Panel'!$D$5),1,0))</f>
        <v>0</v>
      </c>
      <c r="AI437">
        <f>IF(AH437=0,0,IF(AND(OR('Panel'!$G$5="",D437&gt;='Panel'!$G$5),OR('Panel'!$J$5="",D437&lt;='Panel'!$J$5)),1,0))</f>
        <v>0</v>
      </c>
      <c r="AJ437">
        <f>IF(AI437=1,R437,0)</f>
        <v>0</v>
      </c>
      <c r="AK437" t="str">
        <f>IF(AI437=1,'Panel'!$AB$4+SUM($AJ$5:AJ437),"")</f>
        <v/>
      </c>
      <c r="AL437">
        <f>IF(AI437=0,N(AL436),IF(R437&lt;0,N(AL436)+1,0))</f>
        <v>1</v>
      </c>
      <c r="AM437">
        <f>IF(AI437=0,N(AM436),IF(R437&gt;0,N(AM436)+1,0))</f>
        <v>0</v>
      </c>
      <c r="AN437">
        <f>IF(AI437=1,MAX('Panel'!$AB$4,N(AN436),AK437),N(AN436))</f>
        <v>21371.061500000033</v>
      </c>
      <c r="AO437">
        <f>IF(AI437=1,AN437-AK437,0)</f>
        <v>0</v>
      </c>
      <c r="AP437">
        <f>IF(AND(AI437=1,AN437&gt;0),AO437/AN437,0)</f>
        <v>0</v>
      </c>
      <c r="AQ437" t="str">
        <f>IF(AI437=1,SUM($AI$5:AI437),"")</f>
        <v/>
      </c>
      <c r="AR437" t="str">
        <f>IF(AI437=1,IF(COUNTIFS($D$5:D437,D437,$AI$5:AI437,1)=1,SUMIFS($AJ$5:$AJ$504,$D$5:$D$504,D437),""),"")</f>
        <v/>
      </c>
      <c r="AS437" t="str">
        <f>IF(AG437=1,WEEKDAY(D437,2),"")</f>
        <v/>
      </c>
      <c r="AT437" s="31" t="str">
        <f>IF(AG437=1,DATE(YEAR(D437),MONTH(D437),1),"")</f>
        <v/>
      </c>
      <c r="AU437">
        <f>IF(AG437=0,0,IF(AND(OR('Prop challenge'!$D$7="",F437='Prop challenge'!$D$7),OR('Prop challenge'!$D$9="",D437&gt;='Prop challenge'!$D$9)),1,0))</f>
        <v>0</v>
      </c>
      <c r="AV437">
        <f>IF(AU437=1,IF(COUNTIFS($D$5:D437,D437,$AU$5:AU437,1)=1,1,0),0)</f>
        <v>0</v>
      </c>
      <c r="AW437" t="str">
        <f>IF(AV437=1,SUM($AV$5:AV437),"")</f>
        <v/>
      </c>
      <c r="AX437" t="str">
        <f>IF(AV437=1,SUMIFS($R$5:$R$504,$D$5:$D$504,D437,$AU$5:$AU$504,1),"")</f>
        <v/>
      </c>
    </row>
    <row r="438">
      <c r="A438" s="20" t="str">
        <f>IF(AG438=1,ROW()-4,"")</f>
        <v/>
      </c>
      <c r="B438" s="21" t="n"/>
      <c r="C438" s="22" t="n"/>
      <c r="D438" s="21" t="n"/>
      <c r="E438" s="22" t="n"/>
      <c r="F438" s="23" t="n"/>
      <c r="G438" s="23" t="n"/>
      <c r="H438" s="23" t="n"/>
      <c r="I438" s="24" t="n"/>
      <c r="J438" s="25" t="n"/>
      <c r="K438" s="25" t="n"/>
      <c r="L438" s="25" t="n"/>
      <c r="M438" s="25" t="n"/>
      <c r="N438" s="26" t="n"/>
      <c r="O438" s="26" t="n"/>
      <c r="P438" s="27" t="str">
        <f>IF(OR(J438="",K438="",I438="",AF438=0,AD438=""),"",(K438-J438)*AF438*I438*AD438*AE438)</f>
        <v/>
      </c>
      <c r="Q438" s="26" t="n"/>
      <c r="R438" s="28" t="str">
        <f>IF(Q438&lt;&gt;"",Q438,IF(P438="","",P438-N(N438)+N(O438)))</f>
        <v/>
      </c>
      <c r="S438" s="27" t="str">
        <f>IF(OR(L438="",J438="",I438="",AD438=""),"",ABS(J438-L438)*I438*AD438*AE438)</f>
        <v/>
      </c>
      <c r="T438" s="29" t="str">
        <f>IF(OR(R438="",S438="",S438=0),"",R438/S438)</f>
        <v/>
      </c>
      <c r="U438" s="20" t="str">
        <f>IF(R438="","",IF(R438&gt;0,"Ganadora",IF(R438&lt;0,"Perdedora","BE")))</f>
        <v/>
      </c>
      <c r="V438" s="23" t="n"/>
      <c r="W438" s="23" t="n"/>
      <c r="X438" s="23" t="n"/>
      <c r="Y438" s="23" t="n"/>
      <c r="Z438" s="23" t="n"/>
      <c r="AA438" s="23" t="n"/>
      <c r="AB438" s="30" t="n"/>
      <c r="AC438" s="1" t="n"/>
      <c r="AD438" s="1" t="str">
        <f>IF(G438="","",IFERROR(INDEX('Listas'!$N$6:$N$35,MATCH(G438,'Listas'!$M$6:$M$35,0)),""))</f>
        <v/>
      </c>
      <c r="AE438">
        <f>IF(G438="",1,IFERROR(INDEX('Listas'!$P$6:$P$35,MATCH(G438,'Listas'!$M$6:$M$35,0)),1))</f>
        <v>1</v>
      </c>
      <c r="AF438">
        <f>IF(H438="Compra",1,IF(H438="Venta",-1,0))</f>
        <v>0</v>
      </c>
      <c r="AG438">
        <f>IF(AND(D438&lt;&gt;"",ISNUMBER(R438)),1,0)</f>
        <v>0</v>
      </c>
      <c r="AH438">
        <f>IF(AG438=0,0,IF(OR('Panel'!$D$5="Todas las cuentas",'Panel'!$D$5="",F438='Panel'!$D$5),1,0))</f>
        <v>0</v>
      </c>
      <c r="AI438">
        <f>IF(AH438=0,0,IF(AND(OR('Panel'!$G$5="",D438&gt;='Panel'!$G$5),OR('Panel'!$J$5="",D438&lt;='Panel'!$J$5)),1,0))</f>
        <v>0</v>
      </c>
      <c r="AJ438">
        <f>IF(AI438=1,R438,0)</f>
        <v>0</v>
      </c>
      <c r="AK438" t="str">
        <f>IF(AI438=1,'Panel'!$AB$4+SUM($AJ$5:AJ438),"")</f>
        <v/>
      </c>
      <c r="AL438">
        <f>IF(AI438=0,N(AL437),IF(R438&lt;0,N(AL437)+1,0))</f>
        <v>1</v>
      </c>
      <c r="AM438">
        <f>IF(AI438=0,N(AM437),IF(R438&gt;0,N(AM437)+1,0))</f>
        <v>0</v>
      </c>
      <c r="AN438">
        <f>IF(AI438=1,MAX('Panel'!$AB$4,N(AN437),AK438),N(AN437))</f>
        <v>21371.061500000033</v>
      </c>
      <c r="AO438">
        <f>IF(AI438=1,AN438-AK438,0)</f>
        <v>0</v>
      </c>
      <c r="AP438">
        <f>IF(AND(AI438=1,AN438&gt;0),AO438/AN438,0)</f>
        <v>0</v>
      </c>
      <c r="AQ438" t="str">
        <f>IF(AI438=1,SUM($AI$5:AI438),"")</f>
        <v/>
      </c>
      <c r="AR438" t="str">
        <f>IF(AI438=1,IF(COUNTIFS($D$5:D438,D438,$AI$5:AI438,1)=1,SUMIFS($AJ$5:$AJ$504,$D$5:$D$504,D438),""),"")</f>
        <v/>
      </c>
      <c r="AS438" t="str">
        <f>IF(AG438=1,WEEKDAY(D438,2),"")</f>
        <v/>
      </c>
      <c r="AT438" s="31" t="str">
        <f>IF(AG438=1,DATE(YEAR(D438),MONTH(D438),1),"")</f>
        <v/>
      </c>
      <c r="AU438">
        <f>IF(AG438=0,0,IF(AND(OR('Prop challenge'!$D$7="",F438='Prop challenge'!$D$7),OR('Prop challenge'!$D$9="",D438&gt;='Prop challenge'!$D$9)),1,0))</f>
        <v>0</v>
      </c>
      <c r="AV438">
        <f>IF(AU438=1,IF(COUNTIFS($D$5:D438,D438,$AU$5:AU438,1)=1,1,0),0)</f>
        <v>0</v>
      </c>
      <c r="AW438" t="str">
        <f>IF(AV438=1,SUM($AV$5:AV438),"")</f>
        <v/>
      </c>
      <c r="AX438" t="str">
        <f>IF(AV438=1,SUMIFS($R$5:$R$504,$D$5:$D$504,D438,$AU$5:$AU$504,1),"")</f>
        <v/>
      </c>
    </row>
    <row r="439">
      <c r="A439" s="20" t="str">
        <f>IF(AG439=1,ROW()-4,"")</f>
        <v/>
      </c>
      <c r="B439" s="21" t="n"/>
      <c r="C439" s="22" t="n"/>
      <c r="D439" s="21" t="n"/>
      <c r="E439" s="22" t="n"/>
      <c r="F439" s="23" t="n"/>
      <c r="G439" s="23" t="n"/>
      <c r="H439" s="23" t="n"/>
      <c r="I439" s="24" t="n"/>
      <c r="J439" s="25" t="n"/>
      <c r="K439" s="25" t="n"/>
      <c r="L439" s="25" t="n"/>
      <c r="M439" s="25" t="n"/>
      <c r="N439" s="26" t="n"/>
      <c r="O439" s="26" t="n"/>
      <c r="P439" s="27" t="str">
        <f>IF(OR(J439="",K439="",I439="",AF439=0,AD439=""),"",(K439-J439)*AF439*I439*AD439*AE439)</f>
        <v/>
      </c>
      <c r="Q439" s="26" t="n"/>
      <c r="R439" s="28" t="str">
        <f>IF(Q439&lt;&gt;"",Q439,IF(P439="","",P439-N(N439)+N(O439)))</f>
        <v/>
      </c>
      <c r="S439" s="27" t="str">
        <f>IF(OR(L439="",J439="",I439="",AD439=""),"",ABS(J439-L439)*I439*AD439*AE439)</f>
        <v/>
      </c>
      <c r="T439" s="29" t="str">
        <f>IF(OR(R439="",S439="",S439=0),"",R439/S439)</f>
        <v/>
      </c>
      <c r="U439" s="20" t="str">
        <f>IF(R439="","",IF(R439&gt;0,"Ganadora",IF(R439&lt;0,"Perdedora","BE")))</f>
        <v/>
      </c>
      <c r="V439" s="23" t="n"/>
      <c r="W439" s="23" t="n"/>
      <c r="X439" s="23" t="n"/>
      <c r="Y439" s="23" t="n"/>
      <c r="Z439" s="23" t="n"/>
      <c r="AA439" s="23" t="n"/>
      <c r="AB439" s="30" t="n"/>
      <c r="AC439" s="1" t="n"/>
      <c r="AD439" s="1" t="str">
        <f>IF(G439="","",IFERROR(INDEX('Listas'!$N$6:$N$35,MATCH(G439,'Listas'!$M$6:$M$35,0)),""))</f>
        <v/>
      </c>
      <c r="AE439">
        <f>IF(G439="",1,IFERROR(INDEX('Listas'!$P$6:$P$35,MATCH(G439,'Listas'!$M$6:$M$35,0)),1))</f>
        <v>1</v>
      </c>
      <c r="AF439">
        <f>IF(H439="Compra",1,IF(H439="Venta",-1,0))</f>
        <v>0</v>
      </c>
      <c r="AG439">
        <f>IF(AND(D439&lt;&gt;"",ISNUMBER(R439)),1,0)</f>
        <v>0</v>
      </c>
      <c r="AH439">
        <f>IF(AG439=0,0,IF(OR('Panel'!$D$5="Todas las cuentas",'Panel'!$D$5="",F439='Panel'!$D$5),1,0))</f>
        <v>0</v>
      </c>
      <c r="AI439">
        <f>IF(AH439=0,0,IF(AND(OR('Panel'!$G$5="",D439&gt;='Panel'!$G$5),OR('Panel'!$J$5="",D439&lt;='Panel'!$J$5)),1,0))</f>
        <v>0</v>
      </c>
      <c r="AJ439">
        <f>IF(AI439=1,R439,0)</f>
        <v>0</v>
      </c>
      <c r="AK439" t="str">
        <f>IF(AI439=1,'Panel'!$AB$4+SUM($AJ$5:AJ439),"")</f>
        <v/>
      </c>
      <c r="AL439">
        <f>IF(AI439=0,N(AL438),IF(R439&lt;0,N(AL438)+1,0))</f>
        <v>1</v>
      </c>
      <c r="AM439">
        <f>IF(AI439=0,N(AM438),IF(R439&gt;0,N(AM438)+1,0))</f>
        <v>0</v>
      </c>
      <c r="AN439">
        <f>IF(AI439=1,MAX('Panel'!$AB$4,N(AN438),AK439),N(AN438))</f>
        <v>21371.061500000033</v>
      </c>
      <c r="AO439">
        <f>IF(AI439=1,AN439-AK439,0)</f>
        <v>0</v>
      </c>
      <c r="AP439">
        <f>IF(AND(AI439=1,AN439&gt;0),AO439/AN439,0)</f>
        <v>0</v>
      </c>
      <c r="AQ439" t="str">
        <f>IF(AI439=1,SUM($AI$5:AI439),"")</f>
        <v/>
      </c>
      <c r="AR439" t="str">
        <f>IF(AI439=1,IF(COUNTIFS($D$5:D439,D439,$AI$5:AI439,1)=1,SUMIFS($AJ$5:$AJ$504,$D$5:$D$504,D439),""),"")</f>
        <v/>
      </c>
      <c r="AS439" t="str">
        <f>IF(AG439=1,WEEKDAY(D439,2),"")</f>
        <v/>
      </c>
      <c r="AT439" s="31" t="str">
        <f>IF(AG439=1,DATE(YEAR(D439),MONTH(D439),1),"")</f>
        <v/>
      </c>
      <c r="AU439">
        <f>IF(AG439=0,0,IF(AND(OR('Prop challenge'!$D$7="",F439='Prop challenge'!$D$7),OR('Prop challenge'!$D$9="",D439&gt;='Prop challenge'!$D$9)),1,0))</f>
        <v>0</v>
      </c>
      <c r="AV439">
        <f>IF(AU439=1,IF(COUNTIFS($D$5:D439,D439,$AU$5:AU439,1)=1,1,0),0)</f>
        <v>0</v>
      </c>
      <c r="AW439" t="str">
        <f>IF(AV439=1,SUM($AV$5:AV439),"")</f>
        <v/>
      </c>
      <c r="AX439" t="str">
        <f>IF(AV439=1,SUMIFS($R$5:$R$504,$D$5:$D$504,D439,$AU$5:$AU$504,1),"")</f>
        <v/>
      </c>
    </row>
    <row r="440">
      <c r="A440" s="20" t="str">
        <f>IF(AG440=1,ROW()-4,"")</f>
        <v/>
      </c>
      <c r="B440" s="21" t="n"/>
      <c r="C440" s="22" t="n"/>
      <c r="D440" s="21" t="n"/>
      <c r="E440" s="22" t="n"/>
      <c r="F440" s="23" t="n"/>
      <c r="G440" s="23" t="n"/>
      <c r="H440" s="23" t="n"/>
      <c r="I440" s="24" t="n"/>
      <c r="J440" s="25" t="n"/>
      <c r="K440" s="25" t="n"/>
      <c r="L440" s="25" t="n"/>
      <c r="M440" s="25" t="n"/>
      <c r="N440" s="26" t="n"/>
      <c r="O440" s="26" t="n"/>
      <c r="P440" s="27" t="str">
        <f>IF(OR(J440="",K440="",I440="",AF440=0,AD440=""),"",(K440-J440)*AF440*I440*AD440*AE440)</f>
        <v/>
      </c>
      <c r="Q440" s="26" t="n"/>
      <c r="R440" s="28" t="str">
        <f>IF(Q440&lt;&gt;"",Q440,IF(P440="","",P440-N(N440)+N(O440)))</f>
        <v/>
      </c>
      <c r="S440" s="27" t="str">
        <f>IF(OR(L440="",J440="",I440="",AD440=""),"",ABS(J440-L440)*I440*AD440*AE440)</f>
        <v/>
      </c>
      <c r="T440" s="29" t="str">
        <f>IF(OR(R440="",S440="",S440=0),"",R440/S440)</f>
        <v/>
      </c>
      <c r="U440" s="20" t="str">
        <f>IF(R440="","",IF(R440&gt;0,"Ganadora",IF(R440&lt;0,"Perdedora","BE")))</f>
        <v/>
      </c>
      <c r="V440" s="23" t="n"/>
      <c r="W440" s="23" t="n"/>
      <c r="X440" s="23" t="n"/>
      <c r="Y440" s="23" t="n"/>
      <c r="Z440" s="23" t="n"/>
      <c r="AA440" s="23" t="n"/>
      <c r="AB440" s="30" t="n"/>
      <c r="AC440" s="1" t="n"/>
      <c r="AD440" s="1" t="str">
        <f>IF(G440="","",IFERROR(INDEX('Listas'!$N$6:$N$35,MATCH(G440,'Listas'!$M$6:$M$35,0)),""))</f>
        <v/>
      </c>
      <c r="AE440">
        <f>IF(G440="",1,IFERROR(INDEX('Listas'!$P$6:$P$35,MATCH(G440,'Listas'!$M$6:$M$35,0)),1))</f>
        <v>1</v>
      </c>
      <c r="AF440">
        <f>IF(H440="Compra",1,IF(H440="Venta",-1,0))</f>
        <v>0</v>
      </c>
      <c r="AG440">
        <f>IF(AND(D440&lt;&gt;"",ISNUMBER(R440)),1,0)</f>
        <v>0</v>
      </c>
      <c r="AH440">
        <f>IF(AG440=0,0,IF(OR('Panel'!$D$5="Todas las cuentas",'Panel'!$D$5="",F440='Panel'!$D$5),1,0))</f>
        <v>0</v>
      </c>
      <c r="AI440">
        <f>IF(AH440=0,0,IF(AND(OR('Panel'!$G$5="",D440&gt;='Panel'!$G$5),OR('Panel'!$J$5="",D440&lt;='Panel'!$J$5)),1,0))</f>
        <v>0</v>
      </c>
      <c r="AJ440">
        <f>IF(AI440=1,R440,0)</f>
        <v>0</v>
      </c>
      <c r="AK440" t="str">
        <f>IF(AI440=1,'Panel'!$AB$4+SUM($AJ$5:AJ440),"")</f>
        <v/>
      </c>
      <c r="AL440">
        <f>IF(AI440=0,N(AL439),IF(R440&lt;0,N(AL439)+1,0))</f>
        <v>1</v>
      </c>
      <c r="AM440">
        <f>IF(AI440=0,N(AM439),IF(R440&gt;0,N(AM439)+1,0))</f>
        <v>0</v>
      </c>
      <c r="AN440">
        <f>IF(AI440=1,MAX('Panel'!$AB$4,N(AN439),AK440),N(AN439))</f>
        <v>21371.061500000033</v>
      </c>
      <c r="AO440">
        <f>IF(AI440=1,AN440-AK440,0)</f>
        <v>0</v>
      </c>
      <c r="AP440">
        <f>IF(AND(AI440=1,AN440&gt;0),AO440/AN440,0)</f>
        <v>0</v>
      </c>
      <c r="AQ440" t="str">
        <f>IF(AI440=1,SUM($AI$5:AI440),"")</f>
        <v/>
      </c>
      <c r="AR440" t="str">
        <f>IF(AI440=1,IF(COUNTIFS($D$5:D440,D440,$AI$5:AI440,1)=1,SUMIFS($AJ$5:$AJ$504,$D$5:$D$504,D440),""),"")</f>
        <v/>
      </c>
      <c r="AS440" t="str">
        <f>IF(AG440=1,WEEKDAY(D440,2),"")</f>
        <v/>
      </c>
      <c r="AT440" s="31" t="str">
        <f>IF(AG440=1,DATE(YEAR(D440),MONTH(D440),1),"")</f>
        <v/>
      </c>
      <c r="AU440">
        <f>IF(AG440=0,0,IF(AND(OR('Prop challenge'!$D$7="",F440='Prop challenge'!$D$7),OR('Prop challenge'!$D$9="",D440&gt;='Prop challenge'!$D$9)),1,0))</f>
        <v>0</v>
      </c>
      <c r="AV440">
        <f>IF(AU440=1,IF(COUNTIFS($D$5:D440,D440,$AU$5:AU440,1)=1,1,0),0)</f>
        <v>0</v>
      </c>
      <c r="AW440" t="str">
        <f>IF(AV440=1,SUM($AV$5:AV440),"")</f>
        <v/>
      </c>
      <c r="AX440" t="str">
        <f>IF(AV440=1,SUMIFS($R$5:$R$504,$D$5:$D$504,D440,$AU$5:$AU$504,1),"")</f>
        <v/>
      </c>
    </row>
    <row r="441">
      <c r="A441" s="20" t="str">
        <f>IF(AG441=1,ROW()-4,"")</f>
        <v/>
      </c>
      <c r="B441" s="21" t="n"/>
      <c r="C441" s="22" t="n"/>
      <c r="D441" s="21" t="n"/>
      <c r="E441" s="22" t="n"/>
      <c r="F441" s="23" t="n"/>
      <c r="G441" s="23" t="n"/>
      <c r="H441" s="23" t="n"/>
      <c r="I441" s="24" t="n"/>
      <c r="J441" s="25" t="n"/>
      <c r="K441" s="25" t="n"/>
      <c r="L441" s="25" t="n"/>
      <c r="M441" s="25" t="n"/>
      <c r="N441" s="26" t="n"/>
      <c r="O441" s="26" t="n"/>
      <c r="P441" s="27" t="str">
        <f>IF(OR(J441="",K441="",I441="",AF441=0,AD441=""),"",(K441-J441)*AF441*I441*AD441*AE441)</f>
        <v/>
      </c>
      <c r="Q441" s="26" t="n"/>
      <c r="R441" s="28" t="str">
        <f>IF(Q441&lt;&gt;"",Q441,IF(P441="","",P441-N(N441)+N(O441)))</f>
        <v/>
      </c>
      <c r="S441" s="27" t="str">
        <f>IF(OR(L441="",J441="",I441="",AD441=""),"",ABS(J441-L441)*I441*AD441*AE441)</f>
        <v/>
      </c>
      <c r="T441" s="29" t="str">
        <f>IF(OR(R441="",S441="",S441=0),"",R441/S441)</f>
        <v/>
      </c>
      <c r="U441" s="20" t="str">
        <f>IF(R441="","",IF(R441&gt;0,"Ganadora",IF(R441&lt;0,"Perdedora","BE")))</f>
        <v/>
      </c>
      <c r="V441" s="23" t="n"/>
      <c r="W441" s="23" t="n"/>
      <c r="X441" s="23" t="n"/>
      <c r="Y441" s="23" t="n"/>
      <c r="Z441" s="23" t="n"/>
      <c r="AA441" s="23" t="n"/>
      <c r="AB441" s="30" t="n"/>
      <c r="AC441" s="1" t="n"/>
      <c r="AD441" s="1" t="str">
        <f>IF(G441="","",IFERROR(INDEX('Listas'!$N$6:$N$35,MATCH(G441,'Listas'!$M$6:$M$35,0)),""))</f>
        <v/>
      </c>
      <c r="AE441">
        <f>IF(G441="",1,IFERROR(INDEX('Listas'!$P$6:$P$35,MATCH(G441,'Listas'!$M$6:$M$35,0)),1))</f>
        <v>1</v>
      </c>
      <c r="AF441">
        <f>IF(H441="Compra",1,IF(H441="Venta",-1,0))</f>
        <v>0</v>
      </c>
      <c r="AG441">
        <f>IF(AND(D441&lt;&gt;"",ISNUMBER(R441)),1,0)</f>
        <v>0</v>
      </c>
      <c r="AH441">
        <f>IF(AG441=0,0,IF(OR('Panel'!$D$5="Todas las cuentas",'Panel'!$D$5="",F441='Panel'!$D$5),1,0))</f>
        <v>0</v>
      </c>
      <c r="AI441">
        <f>IF(AH441=0,0,IF(AND(OR('Panel'!$G$5="",D441&gt;='Panel'!$G$5),OR('Panel'!$J$5="",D441&lt;='Panel'!$J$5)),1,0))</f>
        <v>0</v>
      </c>
      <c r="AJ441">
        <f>IF(AI441=1,R441,0)</f>
        <v>0</v>
      </c>
      <c r="AK441" t="str">
        <f>IF(AI441=1,'Panel'!$AB$4+SUM($AJ$5:AJ441),"")</f>
        <v/>
      </c>
      <c r="AL441">
        <f>IF(AI441=0,N(AL440),IF(R441&lt;0,N(AL440)+1,0))</f>
        <v>1</v>
      </c>
      <c r="AM441">
        <f>IF(AI441=0,N(AM440),IF(R441&gt;0,N(AM440)+1,0))</f>
        <v>0</v>
      </c>
      <c r="AN441">
        <f>IF(AI441=1,MAX('Panel'!$AB$4,N(AN440),AK441),N(AN440))</f>
        <v>21371.061500000033</v>
      </c>
      <c r="AO441">
        <f>IF(AI441=1,AN441-AK441,0)</f>
        <v>0</v>
      </c>
      <c r="AP441">
        <f>IF(AND(AI441=1,AN441&gt;0),AO441/AN441,0)</f>
        <v>0</v>
      </c>
      <c r="AQ441" t="str">
        <f>IF(AI441=1,SUM($AI$5:AI441),"")</f>
        <v/>
      </c>
      <c r="AR441" t="str">
        <f>IF(AI441=1,IF(COUNTIFS($D$5:D441,D441,$AI$5:AI441,1)=1,SUMIFS($AJ$5:$AJ$504,$D$5:$D$504,D441),""),"")</f>
        <v/>
      </c>
      <c r="AS441" t="str">
        <f>IF(AG441=1,WEEKDAY(D441,2),"")</f>
        <v/>
      </c>
      <c r="AT441" s="31" t="str">
        <f>IF(AG441=1,DATE(YEAR(D441),MONTH(D441),1),"")</f>
        <v/>
      </c>
      <c r="AU441">
        <f>IF(AG441=0,0,IF(AND(OR('Prop challenge'!$D$7="",F441='Prop challenge'!$D$7),OR('Prop challenge'!$D$9="",D441&gt;='Prop challenge'!$D$9)),1,0))</f>
        <v>0</v>
      </c>
      <c r="AV441">
        <f>IF(AU441=1,IF(COUNTIFS($D$5:D441,D441,$AU$5:AU441,1)=1,1,0),0)</f>
        <v>0</v>
      </c>
      <c r="AW441" t="str">
        <f>IF(AV441=1,SUM($AV$5:AV441),"")</f>
        <v/>
      </c>
      <c r="AX441" t="str">
        <f>IF(AV441=1,SUMIFS($R$5:$R$504,$D$5:$D$504,D441,$AU$5:$AU$504,1),"")</f>
        <v/>
      </c>
    </row>
    <row r="442">
      <c r="A442" s="20" t="str">
        <f>IF(AG442=1,ROW()-4,"")</f>
        <v/>
      </c>
      <c r="B442" s="21" t="n"/>
      <c r="C442" s="22" t="n"/>
      <c r="D442" s="21" t="n"/>
      <c r="E442" s="22" t="n"/>
      <c r="F442" s="23" t="n"/>
      <c r="G442" s="23" t="n"/>
      <c r="H442" s="23" t="n"/>
      <c r="I442" s="24" t="n"/>
      <c r="J442" s="25" t="n"/>
      <c r="K442" s="25" t="n"/>
      <c r="L442" s="25" t="n"/>
      <c r="M442" s="25" t="n"/>
      <c r="N442" s="26" t="n"/>
      <c r="O442" s="26" t="n"/>
      <c r="P442" s="27" t="str">
        <f>IF(OR(J442="",K442="",I442="",AF442=0,AD442=""),"",(K442-J442)*AF442*I442*AD442*AE442)</f>
        <v/>
      </c>
      <c r="Q442" s="26" t="n"/>
      <c r="R442" s="28" t="str">
        <f>IF(Q442&lt;&gt;"",Q442,IF(P442="","",P442-N(N442)+N(O442)))</f>
        <v/>
      </c>
      <c r="S442" s="27" t="str">
        <f>IF(OR(L442="",J442="",I442="",AD442=""),"",ABS(J442-L442)*I442*AD442*AE442)</f>
        <v/>
      </c>
      <c r="T442" s="29" t="str">
        <f>IF(OR(R442="",S442="",S442=0),"",R442/S442)</f>
        <v/>
      </c>
      <c r="U442" s="20" t="str">
        <f>IF(R442="","",IF(R442&gt;0,"Ganadora",IF(R442&lt;0,"Perdedora","BE")))</f>
        <v/>
      </c>
      <c r="V442" s="23" t="n"/>
      <c r="W442" s="23" t="n"/>
      <c r="X442" s="23" t="n"/>
      <c r="Y442" s="23" t="n"/>
      <c r="Z442" s="23" t="n"/>
      <c r="AA442" s="23" t="n"/>
      <c r="AB442" s="30" t="n"/>
      <c r="AC442" s="1" t="n"/>
      <c r="AD442" s="1" t="str">
        <f>IF(G442="","",IFERROR(INDEX('Listas'!$N$6:$N$35,MATCH(G442,'Listas'!$M$6:$M$35,0)),""))</f>
        <v/>
      </c>
      <c r="AE442">
        <f>IF(G442="",1,IFERROR(INDEX('Listas'!$P$6:$P$35,MATCH(G442,'Listas'!$M$6:$M$35,0)),1))</f>
        <v>1</v>
      </c>
      <c r="AF442">
        <f>IF(H442="Compra",1,IF(H442="Venta",-1,0))</f>
        <v>0</v>
      </c>
      <c r="AG442">
        <f>IF(AND(D442&lt;&gt;"",ISNUMBER(R442)),1,0)</f>
        <v>0</v>
      </c>
      <c r="AH442">
        <f>IF(AG442=0,0,IF(OR('Panel'!$D$5="Todas las cuentas",'Panel'!$D$5="",F442='Panel'!$D$5),1,0))</f>
        <v>0</v>
      </c>
      <c r="AI442">
        <f>IF(AH442=0,0,IF(AND(OR('Panel'!$G$5="",D442&gt;='Panel'!$G$5),OR('Panel'!$J$5="",D442&lt;='Panel'!$J$5)),1,0))</f>
        <v>0</v>
      </c>
      <c r="AJ442">
        <f>IF(AI442=1,R442,0)</f>
        <v>0</v>
      </c>
      <c r="AK442" t="str">
        <f>IF(AI442=1,'Panel'!$AB$4+SUM($AJ$5:AJ442),"")</f>
        <v/>
      </c>
      <c r="AL442">
        <f>IF(AI442=0,N(AL441),IF(R442&lt;0,N(AL441)+1,0))</f>
        <v>1</v>
      </c>
      <c r="AM442">
        <f>IF(AI442=0,N(AM441),IF(R442&gt;0,N(AM441)+1,0))</f>
        <v>0</v>
      </c>
      <c r="AN442">
        <f>IF(AI442=1,MAX('Panel'!$AB$4,N(AN441),AK442),N(AN441))</f>
        <v>21371.061500000033</v>
      </c>
      <c r="AO442">
        <f>IF(AI442=1,AN442-AK442,0)</f>
        <v>0</v>
      </c>
      <c r="AP442">
        <f>IF(AND(AI442=1,AN442&gt;0),AO442/AN442,0)</f>
        <v>0</v>
      </c>
      <c r="AQ442" t="str">
        <f>IF(AI442=1,SUM($AI$5:AI442),"")</f>
        <v/>
      </c>
      <c r="AR442" t="str">
        <f>IF(AI442=1,IF(COUNTIFS($D$5:D442,D442,$AI$5:AI442,1)=1,SUMIFS($AJ$5:$AJ$504,$D$5:$D$504,D442),""),"")</f>
        <v/>
      </c>
      <c r="AS442" t="str">
        <f>IF(AG442=1,WEEKDAY(D442,2),"")</f>
        <v/>
      </c>
      <c r="AT442" s="31" t="str">
        <f>IF(AG442=1,DATE(YEAR(D442),MONTH(D442),1),"")</f>
        <v/>
      </c>
      <c r="AU442">
        <f>IF(AG442=0,0,IF(AND(OR('Prop challenge'!$D$7="",F442='Prop challenge'!$D$7),OR('Prop challenge'!$D$9="",D442&gt;='Prop challenge'!$D$9)),1,0))</f>
        <v>0</v>
      </c>
      <c r="AV442">
        <f>IF(AU442=1,IF(COUNTIFS($D$5:D442,D442,$AU$5:AU442,1)=1,1,0),0)</f>
        <v>0</v>
      </c>
      <c r="AW442" t="str">
        <f>IF(AV442=1,SUM($AV$5:AV442),"")</f>
        <v/>
      </c>
      <c r="AX442" t="str">
        <f>IF(AV442=1,SUMIFS($R$5:$R$504,$D$5:$D$504,D442,$AU$5:$AU$504,1),"")</f>
        <v/>
      </c>
    </row>
    <row r="443">
      <c r="A443" s="20" t="str">
        <f>IF(AG443=1,ROW()-4,"")</f>
        <v/>
      </c>
      <c r="B443" s="21" t="n"/>
      <c r="C443" s="22" t="n"/>
      <c r="D443" s="21" t="n"/>
      <c r="E443" s="22" t="n"/>
      <c r="F443" s="23" t="n"/>
      <c r="G443" s="23" t="n"/>
      <c r="H443" s="23" t="n"/>
      <c r="I443" s="24" t="n"/>
      <c r="J443" s="25" t="n"/>
      <c r="K443" s="25" t="n"/>
      <c r="L443" s="25" t="n"/>
      <c r="M443" s="25" t="n"/>
      <c r="N443" s="26" t="n"/>
      <c r="O443" s="26" t="n"/>
      <c r="P443" s="27" t="str">
        <f>IF(OR(J443="",K443="",I443="",AF443=0,AD443=""),"",(K443-J443)*AF443*I443*AD443*AE443)</f>
        <v/>
      </c>
      <c r="Q443" s="26" t="n"/>
      <c r="R443" s="28" t="str">
        <f>IF(Q443&lt;&gt;"",Q443,IF(P443="","",P443-N(N443)+N(O443)))</f>
        <v/>
      </c>
      <c r="S443" s="27" t="str">
        <f>IF(OR(L443="",J443="",I443="",AD443=""),"",ABS(J443-L443)*I443*AD443*AE443)</f>
        <v/>
      </c>
      <c r="T443" s="29" t="str">
        <f>IF(OR(R443="",S443="",S443=0),"",R443/S443)</f>
        <v/>
      </c>
      <c r="U443" s="20" t="str">
        <f>IF(R443="","",IF(R443&gt;0,"Ganadora",IF(R443&lt;0,"Perdedora","BE")))</f>
        <v/>
      </c>
      <c r="V443" s="23" t="n"/>
      <c r="W443" s="23" t="n"/>
      <c r="X443" s="23" t="n"/>
      <c r="Y443" s="23" t="n"/>
      <c r="Z443" s="23" t="n"/>
      <c r="AA443" s="23" t="n"/>
      <c r="AB443" s="30" t="n"/>
      <c r="AC443" s="1" t="n"/>
      <c r="AD443" s="1" t="str">
        <f>IF(G443="","",IFERROR(INDEX('Listas'!$N$6:$N$35,MATCH(G443,'Listas'!$M$6:$M$35,0)),""))</f>
        <v/>
      </c>
      <c r="AE443">
        <f>IF(G443="",1,IFERROR(INDEX('Listas'!$P$6:$P$35,MATCH(G443,'Listas'!$M$6:$M$35,0)),1))</f>
        <v>1</v>
      </c>
      <c r="AF443">
        <f>IF(H443="Compra",1,IF(H443="Venta",-1,0))</f>
        <v>0</v>
      </c>
      <c r="AG443">
        <f>IF(AND(D443&lt;&gt;"",ISNUMBER(R443)),1,0)</f>
        <v>0</v>
      </c>
      <c r="AH443">
        <f>IF(AG443=0,0,IF(OR('Panel'!$D$5="Todas las cuentas",'Panel'!$D$5="",F443='Panel'!$D$5),1,0))</f>
        <v>0</v>
      </c>
      <c r="AI443">
        <f>IF(AH443=0,0,IF(AND(OR('Panel'!$G$5="",D443&gt;='Panel'!$G$5),OR('Panel'!$J$5="",D443&lt;='Panel'!$J$5)),1,0))</f>
        <v>0</v>
      </c>
      <c r="AJ443">
        <f>IF(AI443=1,R443,0)</f>
        <v>0</v>
      </c>
      <c r="AK443" t="str">
        <f>IF(AI443=1,'Panel'!$AB$4+SUM($AJ$5:AJ443),"")</f>
        <v/>
      </c>
      <c r="AL443">
        <f>IF(AI443=0,N(AL442),IF(R443&lt;0,N(AL442)+1,0))</f>
        <v>1</v>
      </c>
      <c r="AM443">
        <f>IF(AI443=0,N(AM442),IF(R443&gt;0,N(AM442)+1,0))</f>
        <v>0</v>
      </c>
      <c r="AN443">
        <f>IF(AI443=1,MAX('Panel'!$AB$4,N(AN442),AK443),N(AN442))</f>
        <v>21371.061500000033</v>
      </c>
      <c r="AO443">
        <f>IF(AI443=1,AN443-AK443,0)</f>
        <v>0</v>
      </c>
      <c r="AP443">
        <f>IF(AND(AI443=1,AN443&gt;0),AO443/AN443,0)</f>
        <v>0</v>
      </c>
      <c r="AQ443" t="str">
        <f>IF(AI443=1,SUM($AI$5:AI443),"")</f>
        <v/>
      </c>
      <c r="AR443" t="str">
        <f>IF(AI443=1,IF(COUNTIFS($D$5:D443,D443,$AI$5:AI443,1)=1,SUMIFS($AJ$5:$AJ$504,$D$5:$D$504,D443),""),"")</f>
        <v/>
      </c>
      <c r="AS443" t="str">
        <f>IF(AG443=1,WEEKDAY(D443,2),"")</f>
        <v/>
      </c>
      <c r="AT443" s="31" t="str">
        <f>IF(AG443=1,DATE(YEAR(D443),MONTH(D443),1),"")</f>
        <v/>
      </c>
      <c r="AU443">
        <f>IF(AG443=0,0,IF(AND(OR('Prop challenge'!$D$7="",F443='Prop challenge'!$D$7),OR('Prop challenge'!$D$9="",D443&gt;='Prop challenge'!$D$9)),1,0))</f>
        <v>0</v>
      </c>
      <c r="AV443">
        <f>IF(AU443=1,IF(COUNTIFS($D$5:D443,D443,$AU$5:AU443,1)=1,1,0),0)</f>
        <v>0</v>
      </c>
      <c r="AW443" t="str">
        <f>IF(AV443=1,SUM($AV$5:AV443),"")</f>
        <v/>
      </c>
      <c r="AX443" t="str">
        <f>IF(AV443=1,SUMIFS($R$5:$R$504,$D$5:$D$504,D443,$AU$5:$AU$504,1),"")</f>
        <v/>
      </c>
    </row>
    <row r="444">
      <c r="A444" s="20" t="str">
        <f>IF(AG444=1,ROW()-4,"")</f>
        <v/>
      </c>
      <c r="B444" s="21" t="n"/>
      <c r="C444" s="22" t="n"/>
      <c r="D444" s="21" t="n"/>
      <c r="E444" s="22" t="n"/>
      <c r="F444" s="23" t="n"/>
      <c r="G444" s="23" t="n"/>
      <c r="H444" s="23" t="n"/>
      <c r="I444" s="24" t="n"/>
      <c r="J444" s="25" t="n"/>
      <c r="K444" s="25" t="n"/>
      <c r="L444" s="25" t="n"/>
      <c r="M444" s="25" t="n"/>
      <c r="N444" s="26" t="n"/>
      <c r="O444" s="26" t="n"/>
      <c r="P444" s="27" t="str">
        <f>IF(OR(J444="",K444="",I444="",AF444=0,AD444=""),"",(K444-J444)*AF444*I444*AD444*AE444)</f>
        <v/>
      </c>
      <c r="Q444" s="26" t="n"/>
      <c r="R444" s="28" t="str">
        <f>IF(Q444&lt;&gt;"",Q444,IF(P444="","",P444-N(N444)+N(O444)))</f>
        <v/>
      </c>
      <c r="S444" s="27" t="str">
        <f>IF(OR(L444="",J444="",I444="",AD444=""),"",ABS(J444-L444)*I444*AD444*AE444)</f>
        <v/>
      </c>
      <c r="T444" s="29" t="str">
        <f>IF(OR(R444="",S444="",S444=0),"",R444/S444)</f>
        <v/>
      </c>
      <c r="U444" s="20" t="str">
        <f>IF(R444="","",IF(R444&gt;0,"Ganadora",IF(R444&lt;0,"Perdedora","BE")))</f>
        <v/>
      </c>
      <c r="V444" s="23" t="n"/>
      <c r="W444" s="23" t="n"/>
      <c r="X444" s="23" t="n"/>
      <c r="Y444" s="23" t="n"/>
      <c r="Z444" s="23" t="n"/>
      <c r="AA444" s="23" t="n"/>
      <c r="AB444" s="30" t="n"/>
      <c r="AC444" s="1" t="n"/>
      <c r="AD444" s="1" t="str">
        <f>IF(G444="","",IFERROR(INDEX('Listas'!$N$6:$N$35,MATCH(G444,'Listas'!$M$6:$M$35,0)),""))</f>
        <v/>
      </c>
      <c r="AE444">
        <f>IF(G444="",1,IFERROR(INDEX('Listas'!$P$6:$P$35,MATCH(G444,'Listas'!$M$6:$M$35,0)),1))</f>
        <v>1</v>
      </c>
      <c r="AF444">
        <f>IF(H444="Compra",1,IF(H444="Venta",-1,0))</f>
        <v>0</v>
      </c>
      <c r="AG444">
        <f>IF(AND(D444&lt;&gt;"",ISNUMBER(R444)),1,0)</f>
        <v>0</v>
      </c>
      <c r="AH444">
        <f>IF(AG444=0,0,IF(OR('Panel'!$D$5="Todas las cuentas",'Panel'!$D$5="",F444='Panel'!$D$5),1,0))</f>
        <v>0</v>
      </c>
      <c r="AI444">
        <f>IF(AH444=0,0,IF(AND(OR('Panel'!$G$5="",D444&gt;='Panel'!$G$5),OR('Panel'!$J$5="",D444&lt;='Panel'!$J$5)),1,0))</f>
        <v>0</v>
      </c>
      <c r="AJ444">
        <f>IF(AI444=1,R444,0)</f>
        <v>0</v>
      </c>
      <c r="AK444" t="str">
        <f>IF(AI444=1,'Panel'!$AB$4+SUM($AJ$5:AJ444),"")</f>
        <v/>
      </c>
      <c r="AL444">
        <f>IF(AI444=0,N(AL443),IF(R444&lt;0,N(AL443)+1,0))</f>
        <v>1</v>
      </c>
      <c r="AM444">
        <f>IF(AI444=0,N(AM443),IF(R444&gt;0,N(AM443)+1,0))</f>
        <v>0</v>
      </c>
      <c r="AN444">
        <f>IF(AI444=1,MAX('Panel'!$AB$4,N(AN443),AK444),N(AN443))</f>
        <v>21371.061500000033</v>
      </c>
      <c r="AO444">
        <f>IF(AI444=1,AN444-AK444,0)</f>
        <v>0</v>
      </c>
      <c r="AP444">
        <f>IF(AND(AI444=1,AN444&gt;0),AO444/AN444,0)</f>
        <v>0</v>
      </c>
      <c r="AQ444" t="str">
        <f>IF(AI444=1,SUM($AI$5:AI444),"")</f>
        <v/>
      </c>
      <c r="AR444" t="str">
        <f>IF(AI444=1,IF(COUNTIFS($D$5:D444,D444,$AI$5:AI444,1)=1,SUMIFS($AJ$5:$AJ$504,$D$5:$D$504,D444),""),"")</f>
        <v/>
      </c>
      <c r="AS444" t="str">
        <f>IF(AG444=1,WEEKDAY(D444,2),"")</f>
        <v/>
      </c>
      <c r="AT444" s="31" t="str">
        <f>IF(AG444=1,DATE(YEAR(D444),MONTH(D444),1),"")</f>
        <v/>
      </c>
      <c r="AU444">
        <f>IF(AG444=0,0,IF(AND(OR('Prop challenge'!$D$7="",F444='Prop challenge'!$D$7),OR('Prop challenge'!$D$9="",D444&gt;='Prop challenge'!$D$9)),1,0))</f>
        <v>0</v>
      </c>
      <c r="AV444">
        <f>IF(AU444=1,IF(COUNTIFS($D$5:D444,D444,$AU$5:AU444,1)=1,1,0),0)</f>
        <v>0</v>
      </c>
      <c r="AW444" t="str">
        <f>IF(AV444=1,SUM($AV$5:AV444),"")</f>
        <v/>
      </c>
      <c r="AX444" t="str">
        <f>IF(AV444=1,SUMIFS($R$5:$R$504,$D$5:$D$504,D444,$AU$5:$AU$504,1),"")</f>
        <v/>
      </c>
    </row>
    <row r="445">
      <c r="A445" s="20" t="str">
        <f>IF(AG445=1,ROW()-4,"")</f>
        <v/>
      </c>
      <c r="B445" s="21" t="n"/>
      <c r="C445" s="22" t="n"/>
      <c r="D445" s="21" t="n"/>
      <c r="E445" s="22" t="n"/>
      <c r="F445" s="23" t="n"/>
      <c r="G445" s="23" t="n"/>
      <c r="H445" s="23" t="n"/>
      <c r="I445" s="24" t="n"/>
      <c r="J445" s="25" t="n"/>
      <c r="K445" s="25" t="n"/>
      <c r="L445" s="25" t="n"/>
      <c r="M445" s="25" t="n"/>
      <c r="N445" s="26" t="n"/>
      <c r="O445" s="26" t="n"/>
      <c r="P445" s="27" t="str">
        <f>IF(OR(J445="",K445="",I445="",AF445=0,AD445=""),"",(K445-J445)*AF445*I445*AD445*AE445)</f>
        <v/>
      </c>
      <c r="Q445" s="26" t="n"/>
      <c r="R445" s="28" t="str">
        <f>IF(Q445&lt;&gt;"",Q445,IF(P445="","",P445-N(N445)+N(O445)))</f>
        <v/>
      </c>
      <c r="S445" s="27" t="str">
        <f>IF(OR(L445="",J445="",I445="",AD445=""),"",ABS(J445-L445)*I445*AD445*AE445)</f>
        <v/>
      </c>
      <c r="T445" s="29" t="str">
        <f>IF(OR(R445="",S445="",S445=0),"",R445/S445)</f>
        <v/>
      </c>
      <c r="U445" s="20" t="str">
        <f>IF(R445="","",IF(R445&gt;0,"Ganadora",IF(R445&lt;0,"Perdedora","BE")))</f>
        <v/>
      </c>
      <c r="V445" s="23" t="n"/>
      <c r="W445" s="23" t="n"/>
      <c r="X445" s="23" t="n"/>
      <c r="Y445" s="23" t="n"/>
      <c r="Z445" s="23" t="n"/>
      <c r="AA445" s="23" t="n"/>
      <c r="AB445" s="30" t="n"/>
      <c r="AC445" s="1" t="n"/>
      <c r="AD445" s="1" t="str">
        <f>IF(G445="","",IFERROR(INDEX('Listas'!$N$6:$N$35,MATCH(G445,'Listas'!$M$6:$M$35,0)),""))</f>
        <v/>
      </c>
      <c r="AE445">
        <f>IF(G445="",1,IFERROR(INDEX('Listas'!$P$6:$P$35,MATCH(G445,'Listas'!$M$6:$M$35,0)),1))</f>
        <v>1</v>
      </c>
      <c r="AF445">
        <f>IF(H445="Compra",1,IF(H445="Venta",-1,0))</f>
        <v>0</v>
      </c>
      <c r="AG445">
        <f>IF(AND(D445&lt;&gt;"",ISNUMBER(R445)),1,0)</f>
        <v>0</v>
      </c>
      <c r="AH445">
        <f>IF(AG445=0,0,IF(OR('Panel'!$D$5="Todas las cuentas",'Panel'!$D$5="",F445='Panel'!$D$5),1,0))</f>
        <v>0</v>
      </c>
      <c r="AI445">
        <f>IF(AH445=0,0,IF(AND(OR('Panel'!$G$5="",D445&gt;='Panel'!$G$5),OR('Panel'!$J$5="",D445&lt;='Panel'!$J$5)),1,0))</f>
        <v>0</v>
      </c>
      <c r="AJ445">
        <f>IF(AI445=1,R445,0)</f>
        <v>0</v>
      </c>
      <c r="AK445" t="str">
        <f>IF(AI445=1,'Panel'!$AB$4+SUM($AJ$5:AJ445),"")</f>
        <v/>
      </c>
      <c r="AL445">
        <f>IF(AI445=0,N(AL444),IF(R445&lt;0,N(AL444)+1,0))</f>
        <v>1</v>
      </c>
      <c r="AM445">
        <f>IF(AI445=0,N(AM444),IF(R445&gt;0,N(AM444)+1,0))</f>
        <v>0</v>
      </c>
      <c r="AN445">
        <f>IF(AI445=1,MAX('Panel'!$AB$4,N(AN444),AK445),N(AN444))</f>
        <v>21371.061500000033</v>
      </c>
      <c r="AO445">
        <f>IF(AI445=1,AN445-AK445,0)</f>
        <v>0</v>
      </c>
      <c r="AP445">
        <f>IF(AND(AI445=1,AN445&gt;0),AO445/AN445,0)</f>
        <v>0</v>
      </c>
      <c r="AQ445" t="str">
        <f>IF(AI445=1,SUM($AI$5:AI445),"")</f>
        <v/>
      </c>
      <c r="AR445" t="str">
        <f>IF(AI445=1,IF(COUNTIFS($D$5:D445,D445,$AI$5:AI445,1)=1,SUMIFS($AJ$5:$AJ$504,$D$5:$D$504,D445),""),"")</f>
        <v/>
      </c>
      <c r="AS445" t="str">
        <f>IF(AG445=1,WEEKDAY(D445,2),"")</f>
        <v/>
      </c>
      <c r="AT445" s="31" t="str">
        <f>IF(AG445=1,DATE(YEAR(D445),MONTH(D445),1),"")</f>
        <v/>
      </c>
      <c r="AU445">
        <f>IF(AG445=0,0,IF(AND(OR('Prop challenge'!$D$7="",F445='Prop challenge'!$D$7),OR('Prop challenge'!$D$9="",D445&gt;='Prop challenge'!$D$9)),1,0))</f>
        <v>0</v>
      </c>
      <c r="AV445">
        <f>IF(AU445=1,IF(COUNTIFS($D$5:D445,D445,$AU$5:AU445,1)=1,1,0),0)</f>
        <v>0</v>
      </c>
      <c r="AW445" t="str">
        <f>IF(AV445=1,SUM($AV$5:AV445),"")</f>
        <v/>
      </c>
      <c r="AX445" t="str">
        <f>IF(AV445=1,SUMIFS($R$5:$R$504,$D$5:$D$504,D445,$AU$5:$AU$504,1),"")</f>
        <v/>
      </c>
    </row>
    <row r="446">
      <c r="A446" s="20" t="str">
        <f>IF(AG446=1,ROW()-4,"")</f>
        <v/>
      </c>
      <c r="B446" s="21" t="n"/>
      <c r="C446" s="22" t="n"/>
      <c r="D446" s="21" t="n"/>
      <c r="E446" s="22" t="n"/>
      <c r="F446" s="23" t="n"/>
      <c r="G446" s="23" t="n"/>
      <c r="H446" s="23" t="n"/>
      <c r="I446" s="24" t="n"/>
      <c r="J446" s="25" t="n"/>
      <c r="K446" s="25" t="n"/>
      <c r="L446" s="25" t="n"/>
      <c r="M446" s="25" t="n"/>
      <c r="N446" s="26" t="n"/>
      <c r="O446" s="26" t="n"/>
      <c r="P446" s="27" t="str">
        <f>IF(OR(J446="",K446="",I446="",AF446=0,AD446=""),"",(K446-J446)*AF446*I446*AD446*AE446)</f>
        <v/>
      </c>
      <c r="Q446" s="26" t="n"/>
      <c r="R446" s="28" t="str">
        <f>IF(Q446&lt;&gt;"",Q446,IF(P446="","",P446-N(N446)+N(O446)))</f>
        <v/>
      </c>
      <c r="S446" s="27" t="str">
        <f>IF(OR(L446="",J446="",I446="",AD446=""),"",ABS(J446-L446)*I446*AD446*AE446)</f>
        <v/>
      </c>
      <c r="T446" s="29" t="str">
        <f>IF(OR(R446="",S446="",S446=0),"",R446/S446)</f>
        <v/>
      </c>
      <c r="U446" s="20" t="str">
        <f>IF(R446="","",IF(R446&gt;0,"Ganadora",IF(R446&lt;0,"Perdedora","BE")))</f>
        <v/>
      </c>
      <c r="V446" s="23" t="n"/>
      <c r="W446" s="23" t="n"/>
      <c r="X446" s="23" t="n"/>
      <c r="Y446" s="23" t="n"/>
      <c r="Z446" s="23" t="n"/>
      <c r="AA446" s="23" t="n"/>
      <c r="AB446" s="30" t="n"/>
      <c r="AC446" s="1" t="n"/>
      <c r="AD446" s="1" t="str">
        <f>IF(G446="","",IFERROR(INDEX('Listas'!$N$6:$N$35,MATCH(G446,'Listas'!$M$6:$M$35,0)),""))</f>
        <v/>
      </c>
      <c r="AE446">
        <f>IF(G446="",1,IFERROR(INDEX('Listas'!$P$6:$P$35,MATCH(G446,'Listas'!$M$6:$M$35,0)),1))</f>
        <v>1</v>
      </c>
      <c r="AF446">
        <f>IF(H446="Compra",1,IF(H446="Venta",-1,0))</f>
        <v>0</v>
      </c>
      <c r="AG446">
        <f>IF(AND(D446&lt;&gt;"",ISNUMBER(R446)),1,0)</f>
        <v>0</v>
      </c>
      <c r="AH446">
        <f>IF(AG446=0,0,IF(OR('Panel'!$D$5="Todas las cuentas",'Panel'!$D$5="",F446='Panel'!$D$5),1,0))</f>
        <v>0</v>
      </c>
      <c r="AI446">
        <f>IF(AH446=0,0,IF(AND(OR('Panel'!$G$5="",D446&gt;='Panel'!$G$5),OR('Panel'!$J$5="",D446&lt;='Panel'!$J$5)),1,0))</f>
        <v>0</v>
      </c>
      <c r="AJ446">
        <f>IF(AI446=1,R446,0)</f>
        <v>0</v>
      </c>
      <c r="AK446" t="str">
        <f>IF(AI446=1,'Panel'!$AB$4+SUM($AJ$5:AJ446),"")</f>
        <v/>
      </c>
      <c r="AL446">
        <f>IF(AI446=0,N(AL445),IF(R446&lt;0,N(AL445)+1,0))</f>
        <v>1</v>
      </c>
      <c r="AM446">
        <f>IF(AI446=0,N(AM445),IF(R446&gt;0,N(AM445)+1,0))</f>
        <v>0</v>
      </c>
      <c r="AN446">
        <f>IF(AI446=1,MAX('Panel'!$AB$4,N(AN445),AK446),N(AN445))</f>
        <v>21371.061500000033</v>
      </c>
      <c r="AO446">
        <f>IF(AI446=1,AN446-AK446,0)</f>
        <v>0</v>
      </c>
      <c r="AP446">
        <f>IF(AND(AI446=1,AN446&gt;0),AO446/AN446,0)</f>
        <v>0</v>
      </c>
      <c r="AQ446" t="str">
        <f>IF(AI446=1,SUM($AI$5:AI446),"")</f>
        <v/>
      </c>
      <c r="AR446" t="str">
        <f>IF(AI446=1,IF(COUNTIFS($D$5:D446,D446,$AI$5:AI446,1)=1,SUMIFS($AJ$5:$AJ$504,$D$5:$D$504,D446),""),"")</f>
        <v/>
      </c>
      <c r="AS446" t="str">
        <f>IF(AG446=1,WEEKDAY(D446,2),"")</f>
        <v/>
      </c>
      <c r="AT446" s="31" t="str">
        <f>IF(AG446=1,DATE(YEAR(D446),MONTH(D446),1),"")</f>
        <v/>
      </c>
      <c r="AU446">
        <f>IF(AG446=0,0,IF(AND(OR('Prop challenge'!$D$7="",F446='Prop challenge'!$D$7),OR('Prop challenge'!$D$9="",D446&gt;='Prop challenge'!$D$9)),1,0))</f>
        <v>0</v>
      </c>
      <c r="AV446">
        <f>IF(AU446=1,IF(COUNTIFS($D$5:D446,D446,$AU$5:AU446,1)=1,1,0),0)</f>
        <v>0</v>
      </c>
      <c r="AW446" t="str">
        <f>IF(AV446=1,SUM($AV$5:AV446),"")</f>
        <v/>
      </c>
      <c r="AX446" t="str">
        <f>IF(AV446=1,SUMIFS($R$5:$R$504,$D$5:$D$504,D446,$AU$5:$AU$504,1),"")</f>
        <v/>
      </c>
    </row>
    <row r="447">
      <c r="A447" s="20" t="str">
        <f>IF(AG447=1,ROW()-4,"")</f>
        <v/>
      </c>
      <c r="B447" s="21" t="n"/>
      <c r="C447" s="22" t="n"/>
      <c r="D447" s="21" t="n"/>
      <c r="E447" s="22" t="n"/>
      <c r="F447" s="23" t="n"/>
      <c r="G447" s="23" t="n"/>
      <c r="H447" s="23" t="n"/>
      <c r="I447" s="24" t="n"/>
      <c r="J447" s="25" t="n"/>
      <c r="K447" s="25" t="n"/>
      <c r="L447" s="25" t="n"/>
      <c r="M447" s="25" t="n"/>
      <c r="N447" s="26" t="n"/>
      <c r="O447" s="26" t="n"/>
      <c r="P447" s="27" t="str">
        <f>IF(OR(J447="",K447="",I447="",AF447=0,AD447=""),"",(K447-J447)*AF447*I447*AD447*AE447)</f>
        <v/>
      </c>
      <c r="Q447" s="26" t="n"/>
      <c r="R447" s="28" t="str">
        <f>IF(Q447&lt;&gt;"",Q447,IF(P447="","",P447-N(N447)+N(O447)))</f>
        <v/>
      </c>
      <c r="S447" s="27" t="str">
        <f>IF(OR(L447="",J447="",I447="",AD447=""),"",ABS(J447-L447)*I447*AD447*AE447)</f>
        <v/>
      </c>
      <c r="T447" s="29" t="str">
        <f>IF(OR(R447="",S447="",S447=0),"",R447/S447)</f>
        <v/>
      </c>
      <c r="U447" s="20" t="str">
        <f>IF(R447="","",IF(R447&gt;0,"Ganadora",IF(R447&lt;0,"Perdedora","BE")))</f>
        <v/>
      </c>
      <c r="V447" s="23" t="n"/>
      <c r="W447" s="23" t="n"/>
      <c r="X447" s="23" t="n"/>
      <c r="Y447" s="23" t="n"/>
      <c r="Z447" s="23" t="n"/>
      <c r="AA447" s="23" t="n"/>
      <c r="AB447" s="30" t="n"/>
      <c r="AC447" s="1" t="n"/>
      <c r="AD447" s="1" t="str">
        <f>IF(G447="","",IFERROR(INDEX('Listas'!$N$6:$N$35,MATCH(G447,'Listas'!$M$6:$M$35,0)),""))</f>
        <v/>
      </c>
      <c r="AE447">
        <f>IF(G447="",1,IFERROR(INDEX('Listas'!$P$6:$P$35,MATCH(G447,'Listas'!$M$6:$M$35,0)),1))</f>
        <v>1</v>
      </c>
      <c r="AF447">
        <f>IF(H447="Compra",1,IF(H447="Venta",-1,0))</f>
        <v>0</v>
      </c>
      <c r="AG447">
        <f>IF(AND(D447&lt;&gt;"",ISNUMBER(R447)),1,0)</f>
        <v>0</v>
      </c>
      <c r="AH447">
        <f>IF(AG447=0,0,IF(OR('Panel'!$D$5="Todas las cuentas",'Panel'!$D$5="",F447='Panel'!$D$5),1,0))</f>
        <v>0</v>
      </c>
      <c r="AI447">
        <f>IF(AH447=0,0,IF(AND(OR('Panel'!$G$5="",D447&gt;='Panel'!$G$5),OR('Panel'!$J$5="",D447&lt;='Panel'!$J$5)),1,0))</f>
        <v>0</v>
      </c>
      <c r="AJ447">
        <f>IF(AI447=1,R447,0)</f>
        <v>0</v>
      </c>
      <c r="AK447" t="str">
        <f>IF(AI447=1,'Panel'!$AB$4+SUM($AJ$5:AJ447),"")</f>
        <v/>
      </c>
      <c r="AL447">
        <f>IF(AI447=0,N(AL446),IF(R447&lt;0,N(AL446)+1,0))</f>
        <v>1</v>
      </c>
      <c r="AM447">
        <f>IF(AI447=0,N(AM446),IF(R447&gt;0,N(AM446)+1,0))</f>
        <v>0</v>
      </c>
      <c r="AN447">
        <f>IF(AI447=1,MAX('Panel'!$AB$4,N(AN446),AK447),N(AN446))</f>
        <v>21371.061500000033</v>
      </c>
      <c r="AO447">
        <f>IF(AI447=1,AN447-AK447,0)</f>
        <v>0</v>
      </c>
      <c r="AP447">
        <f>IF(AND(AI447=1,AN447&gt;0),AO447/AN447,0)</f>
        <v>0</v>
      </c>
      <c r="AQ447" t="str">
        <f>IF(AI447=1,SUM($AI$5:AI447),"")</f>
        <v/>
      </c>
      <c r="AR447" t="str">
        <f>IF(AI447=1,IF(COUNTIFS($D$5:D447,D447,$AI$5:AI447,1)=1,SUMIFS($AJ$5:$AJ$504,$D$5:$D$504,D447),""),"")</f>
        <v/>
      </c>
      <c r="AS447" t="str">
        <f>IF(AG447=1,WEEKDAY(D447,2),"")</f>
        <v/>
      </c>
      <c r="AT447" s="31" t="str">
        <f>IF(AG447=1,DATE(YEAR(D447),MONTH(D447),1),"")</f>
        <v/>
      </c>
      <c r="AU447">
        <f>IF(AG447=0,0,IF(AND(OR('Prop challenge'!$D$7="",F447='Prop challenge'!$D$7),OR('Prop challenge'!$D$9="",D447&gt;='Prop challenge'!$D$9)),1,0))</f>
        <v>0</v>
      </c>
      <c r="AV447">
        <f>IF(AU447=1,IF(COUNTIFS($D$5:D447,D447,$AU$5:AU447,1)=1,1,0),0)</f>
        <v>0</v>
      </c>
      <c r="AW447" t="str">
        <f>IF(AV447=1,SUM($AV$5:AV447),"")</f>
        <v/>
      </c>
      <c r="AX447" t="str">
        <f>IF(AV447=1,SUMIFS($R$5:$R$504,$D$5:$D$504,D447,$AU$5:$AU$504,1),"")</f>
        <v/>
      </c>
    </row>
    <row r="448">
      <c r="A448" s="20" t="str">
        <f>IF(AG448=1,ROW()-4,"")</f>
        <v/>
      </c>
      <c r="B448" s="21" t="n"/>
      <c r="C448" s="22" t="n"/>
      <c r="D448" s="21" t="n"/>
      <c r="E448" s="22" t="n"/>
      <c r="F448" s="23" t="n"/>
      <c r="G448" s="23" t="n"/>
      <c r="H448" s="23" t="n"/>
      <c r="I448" s="24" t="n"/>
      <c r="J448" s="25" t="n"/>
      <c r="K448" s="25" t="n"/>
      <c r="L448" s="25" t="n"/>
      <c r="M448" s="25" t="n"/>
      <c r="N448" s="26" t="n"/>
      <c r="O448" s="26" t="n"/>
      <c r="P448" s="27" t="str">
        <f>IF(OR(J448="",K448="",I448="",AF448=0,AD448=""),"",(K448-J448)*AF448*I448*AD448*AE448)</f>
        <v/>
      </c>
      <c r="Q448" s="26" t="n"/>
      <c r="R448" s="28" t="str">
        <f>IF(Q448&lt;&gt;"",Q448,IF(P448="","",P448-N(N448)+N(O448)))</f>
        <v/>
      </c>
      <c r="S448" s="27" t="str">
        <f>IF(OR(L448="",J448="",I448="",AD448=""),"",ABS(J448-L448)*I448*AD448*AE448)</f>
        <v/>
      </c>
      <c r="T448" s="29" t="str">
        <f>IF(OR(R448="",S448="",S448=0),"",R448/S448)</f>
        <v/>
      </c>
      <c r="U448" s="20" t="str">
        <f>IF(R448="","",IF(R448&gt;0,"Ganadora",IF(R448&lt;0,"Perdedora","BE")))</f>
        <v/>
      </c>
      <c r="V448" s="23" t="n"/>
      <c r="W448" s="23" t="n"/>
      <c r="X448" s="23" t="n"/>
      <c r="Y448" s="23" t="n"/>
      <c r="Z448" s="23" t="n"/>
      <c r="AA448" s="23" t="n"/>
      <c r="AB448" s="30" t="n"/>
      <c r="AC448" s="1" t="n"/>
      <c r="AD448" s="1" t="str">
        <f>IF(G448="","",IFERROR(INDEX('Listas'!$N$6:$N$35,MATCH(G448,'Listas'!$M$6:$M$35,0)),""))</f>
        <v/>
      </c>
      <c r="AE448">
        <f>IF(G448="",1,IFERROR(INDEX('Listas'!$P$6:$P$35,MATCH(G448,'Listas'!$M$6:$M$35,0)),1))</f>
        <v>1</v>
      </c>
      <c r="AF448">
        <f>IF(H448="Compra",1,IF(H448="Venta",-1,0))</f>
        <v>0</v>
      </c>
      <c r="AG448">
        <f>IF(AND(D448&lt;&gt;"",ISNUMBER(R448)),1,0)</f>
        <v>0</v>
      </c>
      <c r="AH448">
        <f>IF(AG448=0,0,IF(OR('Panel'!$D$5="Todas las cuentas",'Panel'!$D$5="",F448='Panel'!$D$5),1,0))</f>
        <v>0</v>
      </c>
      <c r="AI448">
        <f>IF(AH448=0,0,IF(AND(OR('Panel'!$G$5="",D448&gt;='Panel'!$G$5),OR('Panel'!$J$5="",D448&lt;='Panel'!$J$5)),1,0))</f>
        <v>0</v>
      </c>
      <c r="AJ448">
        <f>IF(AI448=1,R448,0)</f>
        <v>0</v>
      </c>
      <c r="AK448" t="str">
        <f>IF(AI448=1,'Panel'!$AB$4+SUM($AJ$5:AJ448),"")</f>
        <v/>
      </c>
      <c r="AL448">
        <f>IF(AI448=0,N(AL447),IF(R448&lt;0,N(AL447)+1,0))</f>
        <v>1</v>
      </c>
      <c r="AM448">
        <f>IF(AI448=0,N(AM447),IF(R448&gt;0,N(AM447)+1,0))</f>
        <v>0</v>
      </c>
      <c r="AN448">
        <f>IF(AI448=1,MAX('Panel'!$AB$4,N(AN447),AK448),N(AN447))</f>
        <v>21371.061500000033</v>
      </c>
      <c r="AO448">
        <f>IF(AI448=1,AN448-AK448,0)</f>
        <v>0</v>
      </c>
      <c r="AP448">
        <f>IF(AND(AI448=1,AN448&gt;0),AO448/AN448,0)</f>
        <v>0</v>
      </c>
      <c r="AQ448" t="str">
        <f>IF(AI448=1,SUM($AI$5:AI448),"")</f>
        <v/>
      </c>
      <c r="AR448" t="str">
        <f>IF(AI448=1,IF(COUNTIFS($D$5:D448,D448,$AI$5:AI448,1)=1,SUMIFS($AJ$5:$AJ$504,$D$5:$D$504,D448),""),"")</f>
        <v/>
      </c>
      <c r="AS448" t="str">
        <f>IF(AG448=1,WEEKDAY(D448,2),"")</f>
        <v/>
      </c>
      <c r="AT448" s="31" t="str">
        <f>IF(AG448=1,DATE(YEAR(D448),MONTH(D448),1),"")</f>
        <v/>
      </c>
      <c r="AU448">
        <f>IF(AG448=0,0,IF(AND(OR('Prop challenge'!$D$7="",F448='Prop challenge'!$D$7),OR('Prop challenge'!$D$9="",D448&gt;='Prop challenge'!$D$9)),1,0))</f>
        <v>0</v>
      </c>
      <c r="AV448">
        <f>IF(AU448=1,IF(COUNTIFS($D$5:D448,D448,$AU$5:AU448,1)=1,1,0),0)</f>
        <v>0</v>
      </c>
      <c r="AW448" t="str">
        <f>IF(AV448=1,SUM($AV$5:AV448),"")</f>
        <v/>
      </c>
      <c r="AX448" t="str">
        <f>IF(AV448=1,SUMIFS($R$5:$R$504,$D$5:$D$504,D448,$AU$5:$AU$504,1),"")</f>
        <v/>
      </c>
    </row>
    <row r="449">
      <c r="A449" s="20" t="str">
        <f>IF(AG449=1,ROW()-4,"")</f>
        <v/>
      </c>
      <c r="B449" s="21" t="n"/>
      <c r="C449" s="22" t="n"/>
      <c r="D449" s="21" t="n"/>
      <c r="E449" s="22" t="n"/>
      <c r="F449" s="23" t="n"/>
      <c r="G449" s="23" t="n"/>
      <c r="H449" s="23" t="n"/>
      <c r="I449" s="24" t="n"/>
      <c r="J449" s="25" t="n"/>
      <c r="K449" s="25" t="n"/>
      <c r="L449" s="25" t="n"/>
      <c r="M449" s="25" t="n"/>
      <c r="N449" s="26" t="n"/>
      <c r="O449" s="26" t="n"/>
      <c r="P449" s="27" t="str">
        <f>IF(OR(J449="",K449="",I449="",AF449=0,AD449=""),"",(K449-J449)*AF449*I449*AD449*AE449)</f>
        <v/>
      </c>
      <c r="Q449" s="26" t="n"/>
      <c r="R449" s="28" t="str">
        <f>IF(Q449&lt;&gt;"",Q449,IF(P449="","",P449-N(N449)+N(O449)))</f>
        <v/>
      </c>
      <c r="S449" s="27" t="str">
        <f>IF(OR(L449="",J449="",I449="",AD449=""),"",ABS(J449-L449)*I449*AD449*AE449)</f>
        <v/>
      </c>
      <c r="T449" s="29" t="str">
        <f>IF(OR(R449="",S449="",S449=0),"",R449/S449)</f>
        <v/>
      </c>
      <c r="U449" s="20" t="str">
        <f>IF(R449="","",IF(R449&gt;0,"Ganadora",IF(R449&lt;0,"Perdedora","BE")))</f>
        <v/>
      </c>
      <c r="V449" s="23" t="n"/>
      <c r="W449" s="23" t="n"/>
      <c r="X449" s="23" t="n"/>
      <c r="Y449" s="23" t="n"/>
      <c r="Z449" s="23" t="n"/>
      <c r="AA449" s="23" t="n"/>
      <c r="AB449" s="30" t="n"/>
      <c r="AC449" s="1" t="n"/>
      <c r="AD449" s="1" t="str">
        <f>IF(G449="","",IFERROR(INDEX('Listas'!$N$6:$N$35,MATCH(G449,'Listas'!$M$6:$M$35,0)),""))</f>
        <v/>
      </c>
      <c r="AE449">
        <f>IF(G449="",1,IFERROR(INDEX('Listas'!$P$6:$P$35,MATCH(G449,'Listas'!$M$6:$M$35,0)),1))</f>
        <v>1</v>
      </c>
      <c r="AF449">
        <f>IF(H449="Compra",1,IF(H449="Venta",-1,0))</f>
        <v>0</v>
      </c>
      <c r="AG449">
        <f>IF(AND(D449&lt;&gt;"",ISNUMBER(R449)),1,0)</f>
        <v>0</v>
      </c>
      <c r="AH449">
        <f>IF(AG449=0,0,IF(OR('Panel'!$D$5="Todas las cuentas",'Panel'!$D$5="",F449='Panel'!$D$5),1,0))</f>
        <v>0</v>
      </c>
      <c r="AI449">
        <f>IF(AH449=0,0,IF(AND(OR('Panel'!$G$5="",D449&gt;='Panel'!$G$5),OR('Panel'!$J$5="",D449&lt;='Panel'!$J$5)),1,0))</f>
        <v>0</v>
      </c>
      <c r="AJ449">
        <f>IF(AI449=1,R449,0)</f>
        <v>0</v>
      </c>
      <c r="AK449" t="str">
        <f>IF(AI449=1,'Panel'!$AB$4+SUM($AJ$5:AJ449),"")</f>
        <v/>
      </c>
      <c r="AL449">
        <f>IF(AI449=0,N(AL448),IF(R449&lt;0,N(AL448)+1,0))</f>
        <v>1</v>
      </c>
      <c r="AM449">
        <f>IF(AI449=0,N(AM448),IF(R449&gt;0,N(AM448)+1,0))</f>
        <v>0</v>
      </c>
      <c r="AN449">
        <f>IF(AI449=1,MAX('Panel'!$AB$4,N(AN448),AK449),N(AN448))</f>
        <v>21371.061500000033</v>
      </c>
      <c r="AO449">
        <f>IF(AI449=1,AN449-AK449,0)</f>
        <v>0</v>
      </c>
      <c r="AP449">
        <f>IF(AND(AI449=1,AN449&gt;0),AO449/AN449,0)</f>
        <v>0</v>
      </c>
      <c r="AQ449" t="str">
        <f>IF(AI449=1,SUM($AI$5:AI449),"")</f>
        <v/>
      </c>
      <c r="AR449" t="str">
        <f>IF(AI449=1,IF(COUNTIFS($D$5:D449,D449,$AI$5:AI449,1)=1,SUMIFS($AJ$5:$AJ$504,$D$5:$D$504,D449),""),"")</f>
        <v/>
      </c>
      <c r="AS449" t="str">
        <f>IF(AG449=1,WEEKDAY(D449,2),"")</f>
        <v/>
      </c>
      <c r="AT449" s="31" t="str">
        <f>IF(AG449=1,DATE(YEAR(D449),MONTH(D449),1),"")</f>
        <v/>
      </c>
      <c r="AU449">
        <f>IF(AG449=0,0,IF(AND(OR('Prop challenge'!$D$7="",F449='Prop challenge'!$D$7),OR('Prop challenge'!$D$9="",D449&gt;='Prop challenge'!$D$9)),1,0))</f>
        <v>0</v>
      </c>
      <c r="AV449">
        <f>IF(AU449=1,IF(COUNTIFS($D$5:D449,D449,$AU$5:AU449,1)=1,1,0),0)</f>
        <v>0</v>
      </c>
      <c r="AW449" t="str">
        <f>IF(AV449=1,SUM($AV$5:AV449),"")</f>
        <v/>
      </c>
      <c r="AX449" t="str">
        <f>IF(AV449=1,SUMIFS($R$5:$R$504,$D$5:$D$504,D449,$AU$5:$AU$504,1),"")</f>
        <v/>
      </c>
    </row>
    <row r="450">
      <c r="A450" s="20" t="str">
        <f>IF(AG450=1,ROW()-4,"")</f>
        <v/>
      </c>
      <c r="B450" s="21" t="n"/>
      <c r="C450" s="22" t="n"/>
      <c r="D450" s="21" t="n"/>
      <c r="E450" s="22" t="n"/>
      <c r="F450" s="23" t="n"/>
      <c r="G450" s="23" t="n"/>
      <c r="H450" s="23" t="n"/>
      <c r="I450" s="24" t="n"/>
      <c r="J450" s="25" t="n"/>
      <c r="K450" s="25" t="n"/>
      <c r="L450" s="25" t="n"/>
      <c r="M450" s="25" t="n"/>
      <c r="N450" s="26" t="n"/>
      <c r="O450" s="26" t="n"/>
      <c r="P450" s="27" t="str">
        <f>IF(OR(J450="",K450="",I450="",AF450=0,AD450=""),"",(K450-J450)*AF450*I450*AD450*AE450)</f>
        <v/>
      </c>
      <c r="Q450" s="26" t="n"/>
      <c r="R450" s="28" t="str">
        <f>IF(Q450&lt;&gt;"",Q450,IF(P450="","",P450-N(N450)+N(O450)))</f>
        <v/>
      </c>
      <c r="S450" s="27" t="str">
        <f>IF(OR(L450="",J450="",I450="",AD450=""),"",ABS(J450-L450)*I450*AD450*AE450)</f>
        <v/>
      </c>
      <c r="T450" s="29" t="str">
        <f>IF(OR(R450="",S450="",S450=0),"",R450/S450)</f>
        <v/>
      </c>
      <c r="U450" s="20" t="str">
        <f>IF(R450="","",IF(R450&gt;0,"Ganadora",IF(R450&lt;0,"Perdedora","BE")))</f>
        <v/>
      </c>
      <c r="V450" s="23" t="n"/>
      <c r="W450" s="23" t="n"/>
      <c r="X450" s="23" t="n"/>
      <c r="Y450" s="23" t="n"/>
      <c r="Z450" s="23" t="n"/>
      <c r="AA450" s="23" t="n"/>
      <c r="AB450" s="30" t="n"/>
      <c r="AC450" s="1" t="n"/>
      <c r="AD450" s="1" t="str">
        <f>IF(G450="","",IFERROR(INDEX('Listas'!$N$6:$N$35,MATCH(G450,'Listas'!$M$6:$M$35,0)),""))</f>
        <v/>
      </c>
      <c r="AE450">
        <f>IF(G450="",1,IFERROR(INDEX('Listas'!$P$6:$P$35,MATCH(G450,'Listas'!$M$6:$M$35,0)),1))</f>
        <v>1</v>
      </c>
      <c r="AF450">
        <f>IF(H450="Compra",1,IF(H450="Venta",-1,0))</f>
        <v>0</v>
      </c>
      <c r="AG450">
        <f>IF(AND(D450&lt;&gt;"",ISNUMBER(R450)),1,0)</f>
        <v>0</v>
      </c>
      <c r="AH450">
        <f>IF(AG450=0,0,IF(OR('Panel'!$D$5="Todas las cuentas",'Panel'!$D$5="",F450='Panel'!$D$5),1,0))</f>
        <v>0</v>
      </c>
      <c r="AI450">
        <f>IF(AH450=0,0,IF(AND(OR('Panel'!$G$5="",D450&gt;='Panel'!$G$5),OR('Panel'!$J$5="",D450&lt;='Panel'!$J$5)),1,0))</f>
        <v>0</v>
      </c>
      <c r="AJ450">
        <f>IF(AI450=1,R450,0)</f>
        <v>0</v>
      </c>
      <c r="AK450" t="str">
        <f>IF(AI450=1,'Panel'!$AB$4+SUM($AJ$5:AJ450),"")</f>
        <v/>
      </c>
      <c r="AL450">
        <f>IF(AI450=0,N(AL449),IF(R450&lt;0,N(AL449)+1,0))</f>
        <v>1</v>
      </c>
      <c r="AM450">
        <f>IF(AI450=0,N(AM449),IF(R450&gt;0,N(AM449)+1,0))</f>
        <v>0</v>
      </c>
      <c r="AN450">
        <f>IF(AI450=1,MAX('Panel'!$AB$4,N(AN449),AK450),N(AN449))</f>
        <v>21371.061500000033</v>
      </c>
      <c r="AO450">
        <f>IF(AI450=1,AN450-AK450,0)</f>
        <v>0</v>
      </c>
      <c r="AP450">
        <f>IF(AND(AI450=1,AN450&gt;0),AO450/AN450,0)</f>
        <v>0</v>
      </c>
      <c r="AQ450" t="str">
        <f>IF(AI450=1,SUM($AI$5:AI450),"")</f>
        <v/>
      </c>
      <c r="AR450" t="str">
        <f>IF(AI450=1,IF(COUNTIFS($D$5:D450,D450,$AI$5:AI450,1)=1,SUMIFS($AJ$5:$AJ$504,$D$5:$D$504,D450),""),"")</f>
        <v/>
      </c>
      <c r="AS450" t="str">
        <f>IF(AG450=1,WEEKDAY(D450,2),"")</f>
        <v/>
      </c>
      <c r="AT450" s="31" t="str">
        <f>IF(AG450=1,DATE(YEAR(D450),MONTH(D450),1),"")</f>
        <v/>
      </c>
      <c r="AU450">
        <f>IF(AG450=0,0,IF(AND(OR('Prop challenge'!$D$7="",F450='Prop challenge'!$D$7),OR('Prop challenge'!$D$9="",D450&gt;='Prop challenge'!$D$9)),1,0))</f>
        <v>0</v>
      </c>
      <c r="AV450">
        <f>IF(AU450=1,IF(COUNTIFS($D$5:D450,D450,$AU$5:AU450,1)=1,1,0),0)</f>
        <v>0</v>
      </c>
      <c r="AW450" t="str">
        <f>IF(AV450=1,SUM($AV$5:AV450),"")</f>
        <v/>
      </c>
      <c r="AX450" t="str">
        <f>IF(AV450=1,SUMIFS($R$5:$R$504,$D$5:$D$504,D450,$AU$5:$AU$504,1),"")</f>
        <v/>
      </c>
    </row>
    <row r="451">
      <c r="A451" s="20" t="str">
        <f>IF(AG451=1,ROW()-4,"")</f>
        <v/>
      </c>
      <c r="B451" s="21" t="n"/>
      <c r="C451" s="22" t="n"/>
      <c r="D451" s="21" t="n"/>
      <c r="E451" s="22" t="n"/>
      <c r="F451" s="23" t="n"/>
      <c r="G451" s="23" t="n"/>
      <c r="H451" s="23" t="n"/>
      <c r="I451" s="24" t="n"/>
      <c r="J451" s="25" t="n"/>
      <c r="K451" s="25" t="n"/>
      <c r="L451" s="25" t="n"/>
      <c r="M451" s="25" t="n"/>
      <c r="N451" s="26" t="n"/>
      <c r="O451" s="26" t="n"/>
      <c r="P451" s="27" t="str">
        <f>IF(OR(J451="",K451="",I451="",AF451=0,AD451=""),"",(K451-J451)*AF451*I451*AD451*AE451)</f>
        <v/>
      </c>
      <c r="Q451" s="26" t="n"/>
      <c r="R451" s="28" t="str">
        <f>IF(Q451&lt;&gt;"",Q451,IF(P451="","",P451-N(N451)+N(O451)))</f>
        <v/>
      </c>
      <c r="S451" s="27" t="str">
        <f>IF(OR(L451="",J451="",I451="",AD451=""),"",ABS(J451-L451)*I451*AD451*AE451)</f>
        <v/>
      </c>
      <c r="T451" s="29" t="str">
        <f>IF(OR(R451="",S451="",S451=0),"",R451/S451)</f>
        <v/>
      </c>
      <c r="U451" s="20" t="str">
        <f>IF(R451="","",IF(R451&gt;0,"Ganadora",IF(R451&lt;0,"Perdedora","BE")))</f>
        <v/>
      </c>
      <c r="V451" s="23" t="n"/>
      <c r="W451" s="23" t="n"/>
      <c r="X451" s="23" t="n"/>
      <c r="Y451" s="23" t="n"/>
      <c r="Z451" s="23" t="n"/>
      <c r="AA451" s="23" t="n"/>
      <c r="AB451" s="30" t="n"/>
      <c r="AC451" s="1" t="n"/>
      <c r="AD451" s="1" t="str">
        <f>IF(G451="","",IFERROR(INDEX('Listas'!$N$6:$N$35,MATCH(G451,'Listas'!$M$6:$M$35,0)),""))</f>
        <v/>
      </c>
      <c r="AE451">
        <f>IF(G451="",1,IFERROR(INDEX('Listas'!$P$6:$P$35,MATCH(G451,'Listas'!$M$6:$M$35,0)),1))</f>
        <v>1</v>
      </c>
      <c r="AF451">
        <f>IF(H451="Compra",1,IF(H451="Venta",-1,0))</f>
        <v>0</v>
      </c>
      <c r="AG451">
        <f>IF(AND(D451&lt;&gt;"",ISNUMBER(R451)),1,0)</f>
        <v>0</v>
      </c>
      <c r="AH451">
        <f>IF(AG451=0,0,IF(OR('Panel'!$D$5="Todas las cuentas",'Panel'!$D$5="",F451='Panel'!$D$5),1,0))</f>
        <v>0</v>
      </c>
      <c r="AI451">
        <f>IF(AH451=0,0,IF(AND(OR('Panel'!$G$5="",D451&gt;='Panel'!$G$5),OR('Panel'!$J$5="",D451&lt;='Panel'!$J$5)),1,0))</f>
        <v>0</v>
      </c>
      <c r="AJ451">
        <f>IF(AI451=1,R451,0)</f>
        <v>0</v>
      </c>
      <c r="AK451" t="str">
        <f>IF(AI451=1,'Panel'!$AB$4+SUM($AJ$5:AJ451),"")</f>
        <v/>
      </c>
      <c r="AL451">
        <f>IF(AI451=0,N(AL450),IF(R451&lt;0,N(AL450)+1,0))</f>
        <v>1</v>
      </c>
      <c r="AM451">
        <f>IF(AI451=0,N(AM450),IF(R451&gt;0,N(AM450)+1,0))</f>
        <v>0</v>
      </c>
      <c r="AN451">
        <f>IF(AI451=1,MAX('Panel'!$AB$4,N(AN450),AK451),N(AN450))</f>
        <v>21371.061500000033</v>
      </c>
      <c r="AO451">
        <f>IF(AI451=1,AN451-AK451,0)</f>
        <v>0</v>
      </c>
      <c r="AP451">
        <f>IF(AND(AI451=1,AN451&gt;0),AO451/AN451,0)</f>
        <v>0</v>
      </c>
      <c r="AQ451" t="str">
        <f>IF(AI451=1,SUM($AI$5:AI451),"")</f>
        <v/>
      </c>
      <c r="AR451" t="str">
        <f>IF(AI451=1,IF(COUNTIFS($D$5:D451,D451,$AI$5:AI451,1)=1,SUMIFS($AJ$5:$AJ$504,$D$5:$D$504,D451),""),"")</f>
        <v/>
      </c>
      <c r="AS451" t="str">
        <f>IF(AG451=1,WEEKDAY(D451,2),"")</f>
        <v/>
      </c>
      <c r="AT451" s="31" t="str">
        <f>IF(AG451=1,DATE(YEAR(D451),MONTH(D451),1),"")</f>
        <v/>
      </c>
      <c r="AU451">
        <f>IF(AG451=0,0,IF(AND(OR('Prop challenge'!$D$7="",F451='Prop challenge'!$D$7),OR('Prop challenge'!$D$9="",D451&gt;='Prop challenge'!$D$9)),1,0))</f>
        <v>0</v>
      </c>
      <c r="AV451">
        <f>IF(AU451=1,IF(COUNTIFS($D$5:D451,D451,$AU$5:AU451,1)=1,1,0),0)</f>
        <v>0</v>
      </c>
      <c r="AW451" t="str">
        <f>IF(AV451=1,SUM($AV$5:AV451),"")</f>
        <v/>
      </c>
      <c r="AX451" t="str">
        <f>IF(AV451=1,SUMIFS($R$5:$R$504,$D$5:$D$504,D451,$AU$5:$AU$504,1),"")</f>
        <v/>
      </c>
    </row>
    <row r="452">
      <c r="A452" s="20" t="str">
        <f>IF(AG452=1,ROW()-4,"")</f>
        <v/>
      </c>
      <c r="B452" s="21" t="n"/>
      <c r="C452" s="22" t="n"/>
      <c r="D452" s="21" t="n"/>
      <c r="E452" s="22" t="n"/>
      <c r="F452" s="23" t="n"/>
      <c r="G452" s="23" t="n"/>
      <c r="H452" s="23" t="n"/>
      <c r="I452" s="24" t="n"/>
      <c r="J452" s="25" t="n"/>
      <c r="K452" s="25" t="n"/>
      <c r="L452" s="25" t="n"/>
      <c r="M452" s="25" t="n"/>
      <c r="N452" s="26" t="n"/>
      <c r="O452" s="26" t="n"/>
      <c r="P452" s="27" t="str">
        <f>IF(OR(J452="",K452="",I452="",AF452=0,AD452=""),"",(K452-J452)*AF452*I452*AD452*AE452)</f>
        <v/>
      </c>
      <c r="Q452" s="26" t="n"/>
      <c r="R452" s="28" t="str">
        <f>IF(Q452&lt;&gt;"",Q452,IF(P452="","",P452-N(N452)+N(O452)))</f>
        <v/>
      </c>
      <c r="S452" s="27" t="str">
        <f>IF(OR(L452="",J452="",I452="",AD452=""),"",ABS(J452-L452)*I452*AD452*AE452)</f>
        <v/>
      </c>
      <c r="T452" s="29" t="str">
        <f>IF(OR(R452="",S452="",S452=0),"",R452/S452)</f>
        <v/>
      </c>
      <c r="U452" s="20" t="str">
        <f>IF(R452="","",IF(R452&gt;0,"Ganadora",IF(R452&lt;0,"Perdedora","BE")))</f>
        <v/>
      </c>
      <c r="V452" s="23" t="n"/>
      <c r="W452" s="23" t="n"/>
      <c r="X452" s="23" t="n"/>
      <c r="Y452" s="23" t="n"/>
      <c r="Z452" s="23" t="n"/>
      <c r="AA452" s="23" t="n"/>
      <c r="AB452" s="30" t="n"/>
      <c r="AC452" s="1" t="n"/>
      <c r="AD452" s="1" t="str">
        <f>IF(G452="","",IFERROR(INDEX('Listas'!$N$6:$N$35,MATCH(G452,'Listas'!$M$6:$M$35,0)),""))</f>
        <v/>
      </c>
      <c r="AE452">
        <f>IF(G452="",1,IFERROR(INDEX('Listas'!$P$6:$P$35,MATCH(G452,'Listas'!$M$6:$M$35,0)),1))</f>
        <v>1</v>
      </c>
      <c r="AF452">
        <f>IF(H452="Compra",1,IF(H452="Venta",-1,0))</f>
        <v>0</v>
      </c>
      <c r="AG452">
        <f>IF(AND(D452&lt;&gt;"",ISNUMBER(R452)),1,0)</f>
        <v>0</v>
      </c>
      <c r="AH452">
        <f>IF(AG452=0,0,IF(OR('Panel'!$D$5="Todas las cuentas",'Panel'!$D$5="",F452='Panel'!$D$5),1,0))</f>
        <v>0</v>
      </c>
      <c r="AI452">
        <f>IF(AH452=0,0,IF(AND(OR('Panel'!$G$5="",D452&gt;='Panel'!$G$5),OR('Panel'!$J$5="",D452&lt;='Panel'!$J$5)),1,0))</f>
        <v>0</v>
      </c>
      <c r="AJ452">
        <f>IF(AI452=1,R452,0)</f>
        <v>0</v>
      </c>
      <c r="AK452" t="str">
        <f>IF(AI452=1,'Panel'!$AB$4+SUM($AJ$5:AJ452),"")</f>
        <v/>
      </c>
      <c r="AL452">
        <f>IF(AI452=0,N(AL451),IF(R452&lt;0,N(AL451)+1,0))</f>
        <v>1</v>
      </c>
      <c r="AM452">
        <f>IF(AI452=0,N(AM451),IF(R452&gt;0,N(AM451)+1,0))</f>
        <v>0</v>
      </c>
      <c r="AN452">
        <f>IF(AI452=1,MAX('Panel'!$AB$4,N(AN451),AK452),N(AN451))</f>
        <v>21371.061500000033</v>
      </c>
      <c r="AO452">
        <f>IF(AI452=1,AN452-AK452,0)</f>
        <v>0</v>
      </c>
      <c r="AP452">
        <f>IF(AND(AI452=1,AN452&gt;0),AO452/AN452,0)</f>
        <v>0</v>
      </c>
      <c r="AQ452" t="str">
        <f>IF(AI452=1,SUM($AI$5:AI452),"")</f>
        <v/>
      </c>
      <c r="AR452" t="str">
        <f>IF(AI452=1,IF(COUNTIFS($D$5:D452,D452,$AI$5:AI452,1)=1,SUMIFS($AJ$5:$AJ$504,$D$5:$D$504,D452),""),"")</f>
        <v/>
      </c>
      <c r="AS452" t="str">
        <f>IF(AG452=1,WEEKDAY(D452,2),"")</f>
        <v/>
      </c>
      <c r="AT452" s="31" t="str">
        <f>IF(AG452=1,DATE(YEAR(D452),MONTH(D452),1),"")</f>
        <v/>
      </c>
      <c r="AU452">
        <f>IF(AG452=0,0,IF(AND(OR('Prop challenge'!$D$7="",F452='Prop challenge'!$D$7),OR('Prop challenge'!$D$9="",D452&gt;='Prop challenge'!$D$9)),1,0))</f>
        <v>0</v>
      </c>
      <c r="AV452">
        <f>IF(AU452=1,IF(COUNTIFS($D$5:D452,D452,$AU$5:AU452,1)=1,1,0),0)</f>
        <v>0</v>
      </c>
      <c r="AW452" t="str">
        <f>IF(AV452=1,SUM($AV$5:AV452),"")</f>
        <v/>
      </c>
      <c r="AX452" t="str">
        <f>IF(AV452=1,SUMIFS($R$5:$R$504,$D$5:$D$504,D452,$AU$5:$AU$504,1),"")</f>
        <v/>
      </c>
    </row>
    <row r="453">
      <c r="A453" s="20" t="str">
        <f>IF(AG453=1,ROW()-4,"")</f>
        <v/>
      </c>
      <c r="B453" s="21" t="n"/>
      <c r="C453" s="22" t="n"/>
      <c r="D453" s="21" t="n"/>
      <c r="E453" s="22" t="n"/>
      <c r="F453" s="23" t="n"/>
      <c r="G453" s="23" t="n"/>
      <c r="H453" s="23" t="n"/>
      <c r="I453" s="24" t="n"/>
      <c r="J453" s="25" t="n"/>
      <c r="K453" s="25" t="n"/>
      <c r="L453" s="25" t="n"/>
      <c r="M453" s="25" t="n"/>
      <c r="N453" s="26" t="n"/>
      <c r="O453" s="26" t="n"/>
      <c r="P453" s="27" t="str">
        <f>IF(OR(J453="",K453="",I453="",AF453=0,AD453=""),"",(K453-J453)*AF453*I453*AD453*AE453)</f>
        <v/>
      </c>
      <c r="Q453" s="26" t="n"/>
      <c r="R453" s="28" t="str">
        <f>IF(Q453&lt;&gt;"",Q453,IF(P453="","",P453-N(N453)+N(O453)))</f>
        <v/>
      </c>
      <c r="S453" s="27" t="str">
        <f>IF(OR(L453="",J453="",I453="",AD453=""),"",ABS(J453-L453)*I453*AD453*AE453)</f>
        <v/>
      </c>
      <c r="T453" s="29" t="str">
        <f>IF(OR(R453="",S453="",S453=0),"",R453/S453)</f>
        <v/>
      </c>
      <c r="U453" s="20" t="str">
        <f>IF(R453="","",IF(R453&gt;0,"Ganadora",IF(R453&lt;0,"Perdedora","BE")))</f>
        <v/>
      </c>
      <c r="V453" s="23" t="n"/>
      <c r="W453" s="23" t="n"/>
      <c r="X453" s="23" t="n"/>
      <c r="Y453" s="23" t="n"/>
      <c r="Z453" s="23" t="n"/>
      <c r="AA453" s="23" t="n"/>
      <c r="AB453" s="30" t="n"/>
      <c r="AC453" s="1" t="n"/>
      <c r="AD453" s="1" t="str">
        <f>IF(G453="","",IFERROR(INDEX('Listas'!$N$6:$N$35,MATCH(G453,'Listas'!$M$6:$M$35,0)),""))</f>
        <v/>
      </c>
      <c r="AE453">
        <f>IF(G453="",1,IFERROR(INDEX('Listas'!$P$6:$P$35,MATCH(G453,'Listas'!$M$6:$M$35,0)),1))</f>
        <v>1</v>
      </c>
      <c r="AF453">
        <f>IF(H453="Compra",1,IF(H453="Venta",-1,0))</f>
        <v>0</v>
      </c>
      <c r="AG453">
        <f>IF(AND(D453&lt;&gt;"",ISNUMBER(R453)),1,0)</f>
        <v>0</v>
      </c>
      <c r="AH453">
        <f>IF(AG453=0,0,IF(OR('Panel'!$D$5="Todas las cuentas",'Panel'!$D$5="",F453='Panel'!$D$5),1,0))</f>
        <v>0</v>
      </c>
      <c r="AI453">
        <f>IF(AH453=0,0,IF(AND(OR('Panel'!$G$5="",D453&gt;='Panel'!$G$5),OR('Panel'!$J$5="",D453&lt;='Panel'!$J$5)),1,0))</f>
        <v>0</v>
      </c>
      <c r="AJ453">
        <f>IF(AI453=1,R453,0)</f>
        <v>0</v>
      </c>
      <c r="AK453" t="str">
        <f>IF(AI453=1,'Panel'!$AB$4+SUM($AJ$5:AJ453),"")</f>
        <v/>
      </c>
      <c r="AL453">
        <f>IF(AI453=0,N(AL452),IF(R453&lt;0,N(AL452)+1,0))</f>
        <v>1</v>
      </c>
      <c r="AM453">
        <f>IF(AI453=0,N(AM452),IF(R453&gt;0,N(AM452)+1,0))</f>
        <v>0</v>
      </c>
      <c r="AN453">
        <f>IF(AI453=1,MAX('Panel'!$AB$4,N(AN452),AK453),N(AN452))</f>
        <v>21371.061500000033</v>
      </c>
      <c r="AO453">
        <f>IF(AI453=1,AN453-AK453,0)</f>
        <v>0</v>
      </c>
      <c r="AP453">
        <f>IF(AND(AI453=1,AN453&gt;0),AO453/AN453,0)</f>
        <v>0</v>
      </c>
      <c r="AQ453" t="str">
        <f>IF(AI453=1,SUM($AI$5:AI453),"")</f>
        <v/>
      </c>
      <c r="AR453" t="str">
        <f>IF(AI453=1,IF(COUNTIFS($D$5:D453,D453,$AI$5:AI453,1)=1,SUMIFS($AJ$5:$AJ$504,$D$5:$D$504,D453),""),"")</f>
        <v/>
      </c>
      <c r="AS453" t="str">
        <f>IF(AG453=1,WEEKDAY(D453,2),"")</f>
        <v/>
      </c>
      <c r="AT453" s="31" t="str">
        <f>IF(AG453=1,DATE(YEAR(D453),MONTH(D453),1),"")</f>
        <v/>
      </c>
      <c r="AU453">
        <f>IF(AG453=0,0,IF(AND(OR('Prop challenge'!$D$7="",F453='Prop challenge'!$D$7),OR('Prop challenge'!$D$9="",D453&gt;='Prop challenge'!$D$9)),1,0))</f>
        <v>0</v>
      </c>
      <c r="AV453">
        <f>IF(AU453=1,IF(COUNTIFS($D$5:D453,D453,$AU$5:AU453,1)=1,1,0),0)</f>
        <v>0</v>
      </c>
      <c r="AW453" t="str">
        <f>IF(AV453=1,SUM($AV$5:AV453),"")</f>
        <v/>
      </c>
      <c r="AX453" t="str">
        <f>IF(AV453=1,SUMIFS($R$5:$R$504,$D$5:$D$504,D453,$AU$5:$AU$504,1),"")</f>
        <v/>
      </c>
    </row>
    <row r="454">
      <c r="A454" s="20" t="str">
        <f>IF(AG454=1,ROW()-4,"")</f>
        <v/>
      </c>
      <c r="B454" s="21" t="n"/>
      <c r="C454" s="22" t="n"/>
      <c r="D454" s="21" t="n"/>
      <c r="E454" s="22" t="n"/>
      <c r="F454" s="23" t="n"/>
      <c r="G454" s="23" t="n"/>
      <c r="H454" s="23" t="n"/>
      <c r="I454" s="24" t="n"/>
      <c r="J454" s="25" t="n"/>
      <c r="K454" s="25" t="n"/>
      <c r="L454" s="25" t="n"/>
      <c r="M454" s="25" t="n"/>
      <c r="N454" s="26" t="n"/>
      <c r="O454" s="26" t="n"/>
      <c r="P454" s="27" t="str">
        <f>IF(OR(J454="",K454="",I454="",AF454=0,AD454=""),"",(K454-J454)*AF454*I454*AD454*AE454)</f>
        <v/>
      </c>
      <c r="Q454" s="26" t="n"/>
      <c r="R454" s="28" t="str">
        <f>IF(Q454&lt;&gt;"",Q454,IF(P454="","",P454-N(N454)+N(O454)))</f>
        <v/>
      </c>
      <c r="S454" s="27" t="str">
        <f>IF(OR(L454="",J454="",I454="",AD454=""),"",ABS(J454-L454)*I454*AD454*AE454)</f>
        <v/>
      </c>
      <c r="T454" s="29" t="str">
        <f>IF(OR(R454="",S454="",S454=0),"",R454/S454)</f>
        <v/>
      </c>
      <c r="U454" s="20" t="str">
        <f>IF(R454="","",IF(R454&gt;0,"Ganadora",IF(R454&lt;0,"Perdedora","BE")))</f>
        <v/>
      </c>
      <c r="V454" s="23" t="n"/>
      <c r="W454" s="23" t="n"/>
      <c r="X454" s="23" t="n"/>
      <c r="Y454" s="23" t="n"/>
      <c r="Z454" s="23" t="n"/>
      <c r="AA454" s="23" t="n"/>
      <c r="AB454" s="30" t="n"/>
      <c r="AC454" s="1" t="n"/>
      <c r="AD454" s="1" t="str">
        <f>IF(G454="","",IFERROR(INDEX('Listas'!$N$6:$N$35,MATCH(G454,'Listas'!$M$6:$M$35,0)),""))</f>
        <v/>
      </c>
      <c r="AE454">
        <f>IF(G454="",1,IFERROR(INDEX('Listas'!$P$6:$P$35,MATCH(G454,'Listas'!$M$6:$M$35,0)),1))</f>
        <v>1</v>
      </c>
      <c r="AF454">
        <f>IF(H454="Compra",1,IF(H454="Venta",-1,0))</f>
        <v>0</v>
      </c>
      <c r="AG454">
        <f>IF(AND(D454&lt;&gt;"",ISNUMBER(R454)),1,0)</f>
        <v>0</v>
      </c>
      <c r="AH454">
        <f>IF(AG454=0,0,IF(OR('Panel'!$D$5="Todas las cuentas",'Panel'!$D$5="",F454='Panel'!$D$5),1,0))</f>
        <v>0</v>
      </c>
      <c r="AI454">
        <f>IF(AH454=0,0,IF(AND(OR('Panel'!$G$5="",D454&gt;='Panel'!$G$5),OR('Panel'!$J$5="",D454&lt;='Panel'!$J$5)),1,0))</f>
        <v>0</v>
      </c>
      <c r="AJ454">
        <f>IF(AI454=1,R454,0)</f>
        <v>0</v>
      </c>
      <c r="AK454" t="str">
        <f>IF(AI454=1,'Panel'!$AB$4+SUM($AJ$5:AJ454),"")</f>
        <v/>
      </c>
      <c r="AL454">
        <f>IF(AI454=0,N(AL453),IF(R454&lt;0,N(AL453)+1,0))</f>
        <v>1</v>
      </c>
      <c r="AM454">
        <f>IF(AI454=0,N(AM453),IF(R454&gt;0,N(AM453)+1,0))</f>
        <v>0</v>
      </c>
      <c r="AN454">
        <f>IF(AI454=1,MAX('Panel'!$AB$4,N(AN453),AK454),N(AN453))</f>
        <v>21371.061500000033</v>
      </c>
      <c r="AO454">
        <f>IF(AI454=1,AN454-AK454,0)</f>
        <v>0</v>
      </c>
      <c r="AP454">
        <f>IF(AND(AI454=1,AN454&gt;0),AO454/AN454,0)</f>
        <v>0</v>
      </c>
      <c r="AQ454" t="str">
        <f>IF(AI454=1,SUM($AI$5:AI454),"")</f>
        <v/>
      </c>
      <c r="AR454" t="str">
        <f>IF(AI454=1,IF(COUNTIFS($D$5:D454,D454,$AI$5:AI454,1)=1,SUMIFS($AJ$5:$AJ$504,$D$5:$D$504,D454),""),"")</f>
        <v/>
      </c>
      <c r="AS454" t="str">
        <f>IF(AG454=1,WEEKDAY(D454,2),"")</f>
        <v/>
      </c>
      <c r="AT454" s="31" t="str">
        <f>IF(AG454=1,DATE(YEAR(D454),MONTH(D454),1),"")</f>
        <v/>
      </c>
      <c r="AU454">
        <f>IF(AG454=0,0,IF(AND(OR('Prop challenge'!$D$7="",F454='Prop challenge'!$D$7),OR('Prop challenge'!$D$9="",D454&gt;='Prop challenge'!$D$9)),1,0))</f>
        <v>0</v>
      </c>
      <c r="AV454">
        <f>IF(AU454=1,IF(COUNTIFS($D$5:D454,D454,$AU$5:AU454,1)=1,1,0),0)</f>
        <v>0</v>
      </c>
      <c r="AW454" t="str">
        <f>IF(AV454=1,SUM($AV$5:AV454),"")</f>
        <v/>
      </c>
      <c r="AX454" t="str">
        <f>IF(AV454=1,SUMIFS($R$5:$R$504,$D$5:$D$504,D454,$AU$5:$AU$504,1),"")</f>
        <v/>
      </c>
    </row>
    <row r="455">
      <c r="A455" s="20" t="str">
        <f>IF(AG455=1,ROW()-4,"")</f>
        <v/>
      </c>
      <c r="B455" s="21" t="n"/>
      <c r="C455" s="22" t="n"/>
      <c r="D455" s="21" t="n"/>
      <c r="E455" s="22" t="n"/>
      <c r="F455" s="23" t="n"/>
      <c r="G455" s="23" t="n"/>
      <c r="H455" s="23" t="n"/>
      <c r="I455" s="24" t="n"/>
      <c r="J455" s="25" t="n"/>
      <c r="K455" s="25" t="n"/>
      <c r="L455" s="25" t="n"/>
      <c r="M455" s="25" t="n"/>
      <c r="N455" s="26" t="n"/>
      <c r="O455" s="26" t="n"/>
      <c r="P455" s="27" t="str">
        <f>IF(OR(J455="",K455="",I455="",AF455=0,AD455=""),"",(K455-J455)*AF455*I455*AD455*AE455)</f>
        <v/>
      </c>
      <c r="Q455" s="26" t="n"/>
      <c r="R455" s="28" t="str">
        <f>IF(Q455&lt;&gt;"",Q455,IF(P455="","",P455-N(N455)+N(O455)))</f>
        <v/>
      </c>
      <c r="S455" s="27" t="str">
        <f>IF(OR(L455="",J455="",I455="",AD455=""),"",ABS(J455-L455)*I455*AD455*AE455)</f>
        <v/>
      </c>
      <c r="T455" s="29" t="str">
        <f>IF(OR(R455="",S455="",S455=0),"",R455/S455)</f>
        <v/>
      </c>
      <c r="U455" s="20" t="str">
        <f>IF(R455="","",IF(R455&gt;0,"Ganadora",IF(R455&lt;0,"Perdedora","BE")))</f>
        <v/>
      </c>
      <c r="V455" s="23" t="n"/>
      <c r="W455" s="23" t="n"/>
      <c r="X455" s="23" t="n"/>
      <c r="Y455" s="23" t="n"/>
      <c r="Z455" s="23" t="n"/>
      <c r="AA455" s="23" t="n"/>
      <c r="AB455" s="30" t="n"/>
      <c r="AC455" s="1" t="n"/>
      <c r="AD455" s="1" t="str">
        <f>IF(G455="","",IFERROR(INDEX('Listas'!$N$6:$N$35,MATCH(G455,'Listas'!$M$6:$M$35,0)),""))</f>
        <v/>
      </c>
      <c r="AE455">
        <f>IF(G455="",1,IFERROR(INDEX('Listas'!$P$6:$P$35,MATCH(G455,'Listas'!$M$6:$M$35,0)),1))</f>
        <v>1</v>
      </c>
      <c r="AF455">
        <f>IF(H455="Compra",1,IF(H455="Venta",-1,0))</f>
        <v>0</v>
      </c>
      <c r="AG455">
        <f>IF(AND(D455&lt;&gt;"",ISNUMBER(R455)),1,0)</f>
        <v>0</v>
      </c>
      <c r="AH455">
        <f>IF(AG455=0,0,IF(OR('Panel'!$D$5="Todas las cuentas",'Panel'!$D$5="",F455='Panel'!$D$5),1,0))</f>
        <v>0</v>
      </c>
      <c r="AI455">
        <f>IF(AH455=0,0,IF(AND(OR('Panel'!$G$5="",D455&gt;='Panel'!$G$5),OR('Panel'!$J$5="",D455&lt;='Panel'!$J$5)),1,0))</f>
        <v>0</v>
      </c>
      <c r="AJ455">
        <f>IF(AI455=1,R455,0)</f>
        <v>0</v>
      </c>
      <c r="AK455" t="str">
        <f>IF(AI455=1,'Panel'!$AB$4+SUM($AJ$5:AJ455),"")</f>
        <v/>
      </c>
      <c r="AL455">
        <f>IF(AI455=0,N(AL454),IF(R455&lt;0,N(AL454)+1,0))</f>
        <v>1</v>
      </c>
      <c r="AM455">
        <f>IF(AI455=0,N(AM454),IF(R455&gt;0,N(AM454)+1,0))</f>
        <v>0</v>
      </c>
      <c r="AN455">
        <f>IF(AI455=1,MAX('Panel'!$AB$4,N(AN454),AK455),N(AN454))</f>
        <v>21371.061500000033</v>
      </c>
      <c r="AO455">
        <f>IF(AI455=1,AN455-AK455,0)</f>
        <v>0</v>
      </c>
      <c r="AP455">
        <f>IF(AND(AI455=1,AN455&gt;0),AO455/AN455,0)</f>
        <v>0</v>
      </c>
      <c r="AQ455" t="str">
        <f>IF(AI455=1,SUM($AI$5:AI455),"")</f>
        <v/>
      </c>
      <c r="AR455" t="str">
        <f>IF(AI455=1,IF(COUNTIFS($D$5:D455,D455,$AI$5:AI455,1)=1,SUMIFS($AJ$5:$AJ$504,$D$5:$D$504,D455),""),"")</f>
        <v/>
      </c>
      <c r="AS455" t="str">
        <f>IF(AG455=1,WEEKDAY(D455,2),"")</f>
        <v/>
      </c>
      <c r="AT455" s="31" t="str">
        <f>IF(AG455=1,DATE(YEAR(D455),MONTH(D455),1),"")</f>
        <v/>
      </c>
      <c r="AU455">
        <f>IF(AG455=0,0,IF(AND(OR('Prop challenge'!$D$7="",F455='Prop challenge'!$D$7),OR('Prop challenge'!$D$9="",D455&gt;='Prop challenge'!$D$9)),1,0))</f>
        <v>0</v>
      </c>
      <c r="AV455">
        <f>IF(AU455=1,IF(COUNTIFS($D$5:D455,D455,$AU$5:AU455,1)=1,1,0),0)</f>
        <v>0</v>
      </c>
      <c r="AW455" t="str">
        <f>IF(AV455=1,SUM($AV$5:AV455),"")</f>
        <v/>
      </c>
      <c r="AX455" t="str">
        <f>IF(AV455=1,SUMIFS($R$5:$R$504,$D$5:$D$504,D455,$AU$5:$AU$504,1),"")</f>
        <v/>
      </c>
    </row>
    <row r="456">
      <c r="A456" s="20" t="str">
        <f>IF(AG456=1,ROW()-4,"")</f>
        <v/>
      </c>
      <c r="B456" s="21" t="n"/>
      <c r="C456" s="22" t="n"/>
      <c r="D456" s="21" t="n"/>
      <c r="E456" s="22" t="n"/>
      <c r="F456" s="23" t="n"/>
      <c r="G456" s="23" t="n"/>
      <c r="H456" s="23" t="n"/>
      <c r="I456" s="24" t="n"/>
      <c r="J456" s="25" t="n"/>
      <c r="K456" s="25" t="n"/>
      <c r="L456" s="25" t="n"/>
      <c r="M456" s="25" t="n"/>
      <c r="N456" s="26" t="n"/>
      <c r="O456" s="26" t="n"/>
      <c r="P456" s="27" t="str">
        <f>IF(OR(J456="",K456="",I456="",AF456=0,AD456=""),"",(K456-J456)*AF456*I456*AD456*AE456)</f>
        <v/>
      </c>
      <c r="Q456" s="26" t="n"/>
      <c r="R456" s="28" t="str">
        <f>IF(Q456&lt;&gt;"",Q456,IF(P456="","",P456-N(N456)+N(O456)))</f>
        <v/>
      </c>
      <c r="S456" s="27" t="str">
        <f>IF(OR(L456="",J456="",I456="",AD456=""),"",ABS(J456-L456)*I456*AD456*AE456)</f>
        <v/>
      </c>
      <c r="T456" s="29" t="str">
        <f>IF(OR(R456="",S456="",S456=0),"",R456/S456)</f>
        <v/>
      </c>
      <c r="U456" s="20" t="str">
        <f>IF(R456="","",IF(R456&gt;0,"Ganadora",IF(R456&lt;0,"Perdedora","BE")))</f>
        <v/>
      </c>
      <c r="V456" s="23" t="n"/>
      <c r="W456" s="23" t="n"/>
      <c r="X456" s="23" t="n"/>
      <c r="Y456" s="23" t="n"/>
      <c r="Z456" s="23" t="n"/>
      <c r="AA456" s="23" t="n"/>
      <c r="AB456" s="30" t="n"/>
      <c r="AC456" s="1" t="n"/>
      <c r="AD456" s="1" t="str">
        <f>IF(G456="","",IFERROR(INDEX('Listas'!$N$6:$N$35,MATCH(G456,'Listas'!$M$6:$M$35,0)),""))</f>
        <v/>
      </c>
      <c r="AE456">
        <f>IF(G456="",1,IFERROR(INDEX('Listas'!$P$6:$P$35,MATCH(G456,'Listas'!$M$6:$M$35,0)),1))</f>
        <v>1</v>
      </c>
      <c r="AF456">
        <f>IF(H456="Compra",1,IF(H456="Venta",-1,0))</f>
        <v>0</v>
      </c>
      <c r="AG456">
        <f>IF(AND(D456&lt;&gt;"",ISNUMBER(R456)),1,0)</f>
        <v>0</v>
      </c>
      <c r="AH456">
        <f>IF(AG456=0,0,IF(OR('Panel'!$D$5="Todas las cuentas",'Panel'!$D$5="",F456='Panel'!$D$5),1,0))</f>
        <v>0</v>
      </c>
      <c r="AI456">
        <f>IF(AH456=0,0,IF(AND(OR('Panel'!$G$5="",D456&gt;='Panel'!$G$5),OR('Panel'!$J$5="",D456&lt;='Panel'!$J$5)),1,0))</f>
        <v>0</v>
      </c>
      <c r="AJ456">
        <f>IF(AI456=1,R456,0)</f>
        <v>0</v>
      </c>
      <c r="AK456" t="str">
        <f>IF(AI456=1,'Panel'!$AB$4+SUM($AJ$5:AJ456),"")</f>
        <v/>
      </c>
      <c r="AL456">
        <f>IF(AI456=0,N(AL455),IF(R456&lt;0,N(AL455)+1,0))</f>
        <v>1</v>
      </c>
      <c r="AM456">
        <f>IF(AI456=0,N(AM455),IF(R456&gt;0,N(AM455)+1,0))</f>
        <v>0</v>
      </c>
      <c r="AN456">
        <f>IF(AI456=1,MAX('Panel'!$AB$4,N(AN455),AK456),N(AN455))</f>
        <v>21371.061500000033</v>
      </c>
      <c r="AO456">
        <f>IF(AI456=1,AN456-AK456,0)</f>
        <v>0</v>
      </c>
      <c r="AP456">
        <f>IF(AND(AI456=1,AN456&gt;0),AO456/AN456,0)</f>
        <v>0</v>
      </c>
      <c r="AQ456" t="str">
        <f>IF(AI456=1,SUM($AI$5:AI456),"")</f>
        <v/>
      </c>
      <c r="AR456" t="str">
        <f>IF(AI456=1,IF(COUNTIFS($D$5:D456,D456,$AI$5:AI456,1)=1,SUMIFS($AJ$5:$AJ$504,$D$5:$D$504,D456),""),"")</f>
        <v/>
      </c>
      <c r="AS456" t="str">
        <f>IF(AG456=1,WEEKDAY(D456,2),"")</f>
        <v/>
      </c>
      <c r="AT456" s="31" t="str">
        <f>IF(AG456=1,DATE(YEAR(D456),MONTH(D456),1),"")</f>
        <v/>
      </c>
      <c r="AU456">
        <f>IF(AG456=0,0,IF(AND(OR('Prop challenge'!$D$7="",F456='Prop challenge'!$D$7),OR('Prop challenge'!$D$9="",D456&gt;='Prop challenge'!$D$9)),1,0))</f>
        <v>0</v>
      </c>
      <c r="AV456">
        <f>IF(AU456=1,IF(COUNTIFS($D$5:D456,D456,$AU$5:AU456,1)=1,1,0),0)</f>
        <v>0</v>
      </c>
      <c r="AW456" t="str">
        <f>IF(AV456=1,SUM($AV$5:AV456),"")</f>
        <v/>
      </c>
      <c r="AX456" t="str">
        <f>IF(AV456=1,SUMIFS($R$5:$R$504,$D$5:$D$504,D456,$AU$5:$AU$504,1),"")</f>
        <v/>
      </c>
    </row>
    <row r="457">
      <c r="A457" s="20" t="str">
        <f>IF(AG457=1,ROW()-4,"")</f>
        <v/>
      </c>
      <c r="B457" s="21" t="n"/>
      <c r="C457" s="22" t="n"/>
      <c r="D457" s="21" t="n"/>
      <c r="E457" s="22" t="n"/>
      <c r="F457" s="23" t="n"/>
      <c r="G457" s="23" t="n"/>
      <c r="H457" s="23" t="n"/>
      <c r="I457" s="24" t="n"/>
      <c r="J457" s="25" t="n"/>
      <c r="K457" s="25" t="n"/>
      <c r="L457" s="25" t="n"/>
      <c r="M457" s="25" t="n"/>
      <c r="N457" s="26" t="n"/>
      <c r="O457" s="26" t="n"/>
      <c r="P457" s="27" t="str">
        <f>IF(OR(J457="",K457="",I457="",AF457=0,AD457=""),"",(K457-J457)*AF457*I457*AD457*AE457)</f>
        <v/>
      </c>
      <c r="Q457" s="26" t="n"/>
      <c r="R457" s="28" t="str">
        <f>IF(Q457&lt;&gt;"",Q457,IF(P457="","",P457-N(N457)+N(O457)))</f>
        <v/>
      </c>
      <c r="S457" s="27" t="str">
        <f>IF(OR(L457="",J457="",I457="",AD457=""),"",ABS(J457-L457)*I457*AD457*AE457)</f>
        <v/>
      </c>
      <c r="T457" s="29" t="str">
        <f>IF(OR(R457="",S457="",S457=0),"",R457/S457)</f>
        <v/>
      </c>
      <c r="U457" s="20" t="str">
        <f>IF(R457="","",IF(R457&gt;0,"Ganadora",IF(R457&lt;0,"Perdedora","BE")))</f>
        <v/>
      </c>
      <c r="V457" s="23" t="n"/>
      <c r="W457" s="23" t="n"/>
      <c r="X457" s="23" t="n"/>
      <c r="Y457" s="23" t="n"/>
      <c r="Z457" s="23" t="n"/>
      <c r="AA457" s="23" t="n"/>
      <c r="AB457" s="30" t="n"/>
      <c r="AC457" s="1" t="n"/>
      <c r="AD457" s="1" t="str">
        <f>IF(G457="","",IFERROR(INDEX('Listas'!$N$6:$N$35,MATCH(G457,'Listas'!$M$6:$M$35,0)),""))</f>
        <v/>
      </c>
      <c r="AE457">
        <f>IF(G457="",1,IFERROR(INDEX('Listas'!$P$6:$P$35,MATCH(G457,'Listas'!$M$6:$M$35,0)),1))</f>
        <v>1</v>
      </c>
      <c r="AF457">
        <f>IF(H457="Compra",1,IF(H457="Venta",-1,0))</f>
        <v>0</v>
      </c>
      <c r="AG457">
        <f>IF(AND(D457&lt;&gt;"",ISNUMBER(R457)),1,0)</f>
        <v>0</v>
      </c>
      <c r="AH457">
        <f>IF(AG457=0,0,IF(OR('Panel'!$D$5="Todas las cuentas",'Panel'!$D$5="",F457='Panel'!$D$5),1,0))</f>
        <v>0</v>
      </c>
      <c r="AI457">
        <f>IF(AH457=0,0,IF(AND(OR('Panel'!$G$5="",D457&gt;='Panel'!$G$5),OR('Panel'!$J$5="",D457&lt;='Panel'!$J$5)),1,0))</f>
        <v>0</v>
      </c>
      <c r="AJ457">
        <f>IF(AI457=1,R457,0)</f>
        <v>0</v>
      </c>
      <c r="AK457" t="str">
        <f>IF(AI457=1,'Panel'!$AB$4+SUM($AJ$5:AJ457),"")</f>
        <v/>
      </c>
      <c r="AL457">
        <f>IF(AI457=0,N(AL456),IF(R457&lt;0,N(AL456)+1,0))</f>
        <v>1</v>
      </c>
      <c r="AM457">
        <f>IF(AI457=0,N(AM456),IF(R457&gt;0,N(AM456)+1,0))</f>
        <v>0</v>
      </c>
      <c r="AN457">
        <f>IF(AI457=1,MAX('Panel'!$AB$4,N(AN456),AK457),N(AN456))</f>
        <v>21371.061500000033</v>
      </c>
      <c r="AO457">
        <f>IF(AI457=1,AN457-AK457,0)</f>
        <v>0</v>
      </c>
      <c r="AP457">
        <f>IF(AND(AI457=1,AN457&gt;0),AO457/AN457,0)</f>
        <v>0</v>
      </c>
      <c r="AQ457" t="str">
        <f>IF(AI457=1,SUM($AI$5:AI457),"")</f>
        <v/>
      </c>
      <c r="AR457" t="str">
        <f>IF(AI457=1,IF(COUNTIFS($D$5:D457,D457,$AI$5:AI457,1)=1,SUMIFS($AJ$5:$AJ$504,$D$5:$D$504,D457),""),"")</f>
        <v/>
      </c>
      <c r="AS457" t="str">
        <f>IF(AG457=1,WEEKDAY(D457,2),"")</f>
        <v/>
      </c>
      <c r="AT457" s="31" t="str">
        <f>IF(AG457=1,DATE(YEAR(D457),MONTH(D457),1),"")</f>
        <v/>
      </c>
      <c r="AU457">
        <f>IF(AG457=0,0,IF(AND(OR('Prop challenge'!$D$7="",F457='Prop challenge'!$D$7),OR('Prop challenge'!$D$9="",D457&gt;='Prop challenge'!$D$9)),1,0))</f>
        <v>0</v>
      </c>
      <c r="AV457">
        <f>IF(AU457=1,IF(COUNTIFS($D$5:D457,D457,$AU$5:AU457,1)=1,1,0),0)</f>
        <v>0</v>
      </c>
      <c r="AW457" t="str">
        <f>IF(AV457=1,SUM($AV$5:AV457),"")</f>
        <v/>
      </c>
      <c r="AX457" t="str">
        <f>IF(AV457=1,SUMIFS($R$5:$R$504,$D$5:$D$504,D457,$AU$5:$AU$504,1),"")</f>
        <v/>
      </c>
    </row>
    <row r="458">
      <c r="A458" s="20" t="str">
        <f>IF(AG458=1,ROW()-4,"")</f>
        <v/>
      </c>
      <c r="B458" s="21" t="n"/>
      <c r="C458" s="22" t="n"/>
      <c r="D458" s="21" t="n"/>
      <c r="E458" s="22" t="n"/>
      <c r="F458" s="23" t="n"/>
      <c r="G458" s="23" t="n"/>
      <c r="H458" s="23" t="n"/>
      <c r="I458" s="24" t="n"/>
      <c r="J458" s="25" t="n"/>
      <c r="K458" s="25" t="n"/>
      <c r="L458" s="25" t="n"/>
      <c r="M458" s="25" t="n"/>
      <c r="N458" s="26" t="n"/>
      <c r="O458" s="26" t="n"/>
      <c r="P458" s="27" t="str">
        <f>IF(OR(J458="",K458="",I458="",AF458=0,AD458=""),"",(K458-J458)*AF458*I458*AD458*AE458)</f>
        <v/>
      </c>
      <c r="Q458" s="26" t="n"/>
      <c r="R458" s="28" t="str">
        <f>IF(Q458&lt;&gt;"",Q458,IF(P458="","",P458-N(N458)+N(O458)))</f>
        <v/>
      </c>
      <c r="S458" s="27" t="str">
        <f>IF(OR(L458="",J458="",I458="",AD458=""),"",ABS(J458-L458)*I458*AD458*AE458)</f>
        <v/>
      </c>
      <c r="T458" s="29" t="str">
        <f>IF(OR(R458="",S458="",S458=0),"",R458/S458)</f>
        <v/>
      </c>
      <c r="U458" s="20" t="str">
        <f>IF(R458="","",IF(R458&gt;0,"Ganadora",IF(R458&lt;0,"Perdedora","BE")))</f>
        <v/>
      </c>
      <c r="V458" s="23" t="n"/>
      <c r="W458" s="23" t="n"/>
      <c r="X458" s="23" t="n"/>
      <c r="Y458" s="23" t="n"/>
      <c r="Z458" s="23" t="n"/>
      <c r="AA458" s="23" t="n"/>
      <c r="AB458" s="30" t="n"/>
      <c r="AC458" s="1" t="n"/>
      <c r="AD458" s="1" t="str">
        <f>IF(G458="","",IFERROR(INDEX('Listas'!$N$6:$N$35,MATCH(G458,'Listas'!$M$6:$M$35,0)),""))</f>
        <v/>
      </c>
      <c r="AE458">
        <f>IF(G458="",1,IFERROR(INDEX('Listas'!$P$6:$P$35,MATCH(G458,'Listas'!$M$6:$M$35,0)),1))</f>
        <v>1</v>
      </c>
      <c r="AF458">
        <f>IF(H458="Compra",1,IF(H458="Venta",-1,0))</f>
        <v>0</v>
      </c>
      <c r="AG458">
        <f>IF(AND(D458&lt;&gt;"",ISNUMBER(R458)),1,0)</f>
        <v>0</v>
      </c>
      <c r="AH458">
        <f>IF(AG458=0,0,IF(OR('Panel'!$D$5="Todas las cuentas",'Panel'!$D$5="",F458='Panel'!$D$5),1,0))</f>
        <v>0</v>
      </c>
      <c r="AI458">
        <f>IF(AH458=0,0,IF(AND(OR('Panel'!$G$5="",D458&gt;='Panel'!$G$5),OR('Panel'!$J$5="",D458&lt;='Panel'!$J$5)),1,0))</f>
        <v>0</v>
      </c>
      <c r="AJ458">
        <f>IF(AI458=1,R458,0)</f>
        <v>0</v>
      </c>
      <c r="AK458" t="str">
        <f>IF(AI458=1,'Panel'!$AB$4+SUM($AJ$5:AJ458),"")</f>
        <v/>
      </c>
      <c r="AL458">
        <f>IF(AI458=0,N(AL457),IF(R458&lt;0,N(AL457)+1,0))</f>
        <v>1</v>
      </c>
      <c r="AM458">
        <f>IF(AI458=0,N(AM457),IF(R458&gt;0,N(AM457)+1,0))</f>
        <v>0</v>
      </c>
      <c r="AN458">
        <f>IF(AI458=1,MAX('Panel'!$AB$4,N(AN457),AK458),N(AN457))</f>
        <v>21371.061500000033</v>
      </c>
      <c r="AO458">
        <f>IF(AI458=1,AN458-AK458,0)</f>
        <v>0</v>
      </c>
      <c r="AP458">
        <f>IF(AND(AI458=1,AN458&gt;0),AO458/AN458,0)</f>
        <v>0</v>
      </c>
      <c r="AQ458" t="str">
        <f>IF(AI458=1,SUM($AI$5:AI458),"")</f>
        <v/>
      </c>
      <c r="AR458" t="str">
        <f>IF(AI458=1,IF(COUNTIFS($D$5:D458,D458,$AI$5:AI458,1)=1,SUMIFS($AJ$5:$AJ$504,$D$5:$D$504,D458),""),"")</f>
        <v/>
      </c>
      <c r="AS458" t="str">
        <f>IF(AG458=1,WEEKDAY(D458,2),"")</f>
        <v/>
      </c>
      <c r="AT458" s="31" t="str">
        <f>IF(AG458=1,DATE(YEAR(D458),MONTH(D458),1),"")</f>
        <v/>
      </c>
      <c r="AU458">
        <f>IF(AG458=0,0,IF(AND(OR('Prop challenge'!$D$7="",F458='Prop challenge'!$D$7),OR('Prop challenge'!$D$9="",D458&gt;='Prop challenge'!$D$9)),1,0))</f>
        <v>0</v>
      </c>
      <c r="AV458">
        <f>IF(AU458=1,IF(COUNTIFS($D$5:D458,D458,$AU$5:AU458,1)=1,1,0),0)</f>
        <v>0</v>
      </c>
      <c r="AW458" t="str">
        <f>IF(AV458=1,SUM($AV$5:AV458),"")</f>
        <v/>
      </c>
      <c r="AX458" t="str">
        <f>IF(AV458=1,SUMIFS($R$5:$R$504,$D$5:$D$504,D458,$AU$5:$AU$504,1),"")</f>
        <v/>
      </c>
    </row>
    <row r="459">
      <c r="A459" s="20" t="str">
        <f>IF(AG459=1,ROW()-4,"")</f>
        <v/>
      </c>
      <c r="B459" s="21" t="n"/>
      <c r="C459" s="22" t="n"/>
      <c r="D459" s="21" t="n"/>
      <c r="E459" s="22" t="n"/>
      <c r="F459" s="23" t="n"/>
      <c r="G459" s="23" t="n"/>
      <c r="H459" s="23" t="n"/>
      <c r="I459" s="24" t="n"/>
      <c r="J459" s="25" t="n"/>
      <c r="K459" s="25" t="n"/>
      <c r="L459" s="25" t="n"/>
      <c r="M459" s="25" t="n"/>
      <c r="N459" s="26" t="n"/>
      <c r="O459" s="26" t="n"/>
      <c r="P459" s="27" t="str">
        <f>IF(OR(J459="",K459="",I459="",AF459=0,AD459=""),"",(K459-J459)*AF459*I459*AD459*AE459)</f>
        <v/>
      </c>
      <c r="Q459" s="26" t="n"/>
      <c r="R459" s="28" t="str">
        <f>IF(Q459&lt;&gt;"",Q459,IF(P459="","",P459-N(N459)+N(O459)))</f>
        <v/>
      </c>
      <c r="S459" s="27" t="str">
        <f>IF(OR(L459="",J459="",I459="",AD459=""),"",ABS(J459-L459)*I459*AD459*AE459)</f>
        <v/>
      </c>
      <c r="T459" s="29" t="str">
        <f>IF(OR(R459="",S459="",S459=0),"",R459/S459)</f>
        <v/>
      </c>
      <c r="U459" s="20" t="str">
        <f>IF(R459="","",IF(R459&gt;0,"Ganadora",IF(R459&lt;0,"Perdedora","BE")))</f>
        <v/>
      </c>
      <c r="V459" s="23" t="n"/>
      <c r="W459" s="23" t="n"/>
      <c r="X459" s="23" t="n"/>
      <c r="Y459" s="23" t="n"/>
      <c r="Z459" s="23" t="n"/>
      <c r="AA459" s="23" t="n"/>
      <c r="AB459" s="30" t="n"/>
      <c r="AC459" s="1" t="n"/>
      <c r="AD459" s="1" t="str">
        <f>IF(G459="","",IFERROR(INDEX('Listas'!$N$6:$N$35,MATCH(G459,'Listas'!$M$6:$M$35,0)),""))</f>
        <v/>
      </c>
      <c r="AE459">
        <f>IF(G459="",1,IFERROR(INDEX('Listas'!$P$6:$P$35,MATCH(G459,'Listas'!$M$6:$M$35,0)),1))</f>
        <v>1</v>
      </c>
      <c r="AF459">
        <f>IF(H459="Compra",1,IF(H459="Venta",-1,0))</f>
        <v>0</v>
      </c>
      <c r="AG459">
        <f>IF(AND(D459&lt;&gt;"",ISNUMBER(R459)),1,0)</f>
        <v>0</v>
      </c>
      <c r="AH459">
        <f>IF(AG459=0,0,IF(OR('Panel'!$D$5="Todas las cuentas",'Panel'!$D$5="",F459='Panel'!$D$5),1,0))</f>
        <v>0</v>
      </c>
      <c r="AI459">
        <f>IF(AH459=0,0,IF(AND(OR('Panel'!$G$5="",D459&gt;='Panel'!$G$5),OR('Panel'!$J$5="",D459&lt;='Panel'!$J$5)),1,0))</f>
        <v>0</v>
      </c>
      <c r="AJ459">
        <f>IF(AI459=1,R459,0)</f>
        <v>0</v>
      </c>
      <c r="AK459" t="str">
        <f>IF(AI459=1,'Panel'!$AB$4+SUM($AJ$5:AJ459),"")</f>
        <v/>
      </c>
      <c r="AL459">
        <f>IF(AI459=0,N(AL458),IF(R459&lt;0,N(AL458)+1,0))</f>
        <v>1</v>
      </c>
      <c r="AM459">
        <f>IF(AI459=0,N(AM458),IF(R459&gt;0,N(AM458)+1,0))</f>
        <v>0</v>
      </c>
      <c r="AN459">
        <f>IF(AI459=1,MAX('Panel'!$AB$4,N(AN458),AK459),N(AN458))</f>
        <v>21371.061500000033</v>
      </c>
      <c r="AO459">
        <f>IF(AI459=1,AN459-AK459,0)</f>
        <v>0</v>
      </c>
      <c r="AP459">
        <f>IF(AND(AI459=1,AN459&gt;0),AO459/AN459,0)</f>
        <v>0</v>
      </c>
      <c r="AQ459" t="str">
        <f>IF(AI459=1,SUM($AI$5:AI459),"")</f>
        <v/>
      </c>
      <c r="AR459" t="str">
        <f>IF(AI459=1,IF(COUNTIFS($D$5:D459,D459,$AI$5:AI459,1)=1,SUMIFS($AJ$5:$AJ$504,$D$5:$D$504,D459),""),"")</f>
        <v/>
      </c>
      <c r="AS459" t="str">
        <f>IF(AG459=1,WEEKDAY(D459,2),"")</f>
        <v/>
      </c>
      <c r="AT459" s="31" t="str">
        <f>IF(AG459=1,DATE(YEAR(D459),MONTH(D459),1),"")</f>
        <v/>
      </c>
      <c r="AU459">
        <f>IF(AG459=0,0,IF(AND(OR('Prop challenge'!$D$7="",F459='Prop challenge'!$D$7),OR('Prop challenge'!$D$9="",D459&gt;='Prop challenge'!$D$9)),1,0))</f>
        <v>0</v>
      </c>
      <c r="AV459">
        <f>IF(AU459=1,IF(COUNTIFS($D$5:D459,D459,$AU$5:AU459,1)=1,1,0),0)</f>
        <v>0</v>
      </c>
      <c r="AW459" t="str">
        <f>IF(AV459=1,SUM($AV$5:AV459),"")</f>
        <v/>
      </c>
      <c r="AX459" t="str">
        <f>IF(AV459=1,SUMIFS($R$5:$R$504,$D$5:$D$504,D459,$AU$5:$AU$504,1),"")</f>
        <v/>
      </c>
    </row>
    <row r="460">
      <c r="A460" s="20" t="str">
        <f>IF(AG460=1,ROW()-4,"")</f>
        <v/>
      </c>
      <c r="B460" s="21" t="n"/>
      <c r="C460" s="22" t="n"/>
      <c r="D460" s="21" t="n"/>
      <c r="E460" s="22" t="n"/>
      <c r="F460" s="23" t="n"/>
      <c r="G460" s="23" t="n"/>
      <c r="H460" s="23" t="n"/>
      <c r="I460" s="24" t="n"/>
      <c r="J460" s="25" t="n"/>
      <c r="K460" s="25" t="n"/>
      <c r="L460" s="25" t="n"/>
      <c r="M460" s="25" t="n"/>
      <c r="N460" s="26" t="n"/>
      <c r="O460" s="26" t="n"/>
      <c r="P460" s="27" t="str">
        <f>IF(OR(J460="",K460="",I460="",AF460=0,AD460=""),"",(K460-J460)*AF460*I460*AD460*AE460)</f>
        <v/>
      </c>
      <c r="Q460" s="26" t="n"/>
      <c r="R460" s="28" t="str">
        <f>IF(Q460&lt;&gt;"",Q460,IF(P460="","",P460-N(N460)+N(O460)))</f>
        <v/>
      </c>
      <c r="S460" s="27" t="str">
        <f>IF(OR(L460="",J460="",I460="",AD460=""),"",ABS(J460-L460)*I460*AD460*AE460)</f>
        <v/>
      </c>
      <c r="T460" s="29" t="str">
        <f>IF(OR(R460="",S460="",S460=0),"",R460/S460)</f>
        <v/>
      </c>
      <c r="U460" s="20" t="str">
        <f>IF(R460="","",IF(R460&gt;0,"Ganadora",IF(R460&lt;0,"Perdedora","BE")))</f>
        <v/>
      </c>
      <c r="V460" s="23" t="n"/>
      <c r="W460" s="23" t="n"/>
      <c r="X460" s="23" t="n"/>
      <c r="Y460" s="23" t="n"/>
      <c r="Z460" s="23" t="n"/>
      <c r="AA460" s="23" t="n"/>
      <c r="AB460" s="30" t="n"/>
      <c r="AC460" s="1" t="n"/>
      <c r="AD460" s="1" t="str">
        <f>IF(G460="","",IFERROR(INDEX('Listas'!$N$6:$N$35,MATCH(G460,'Listas'!$M$6:$M$35,0)),""))</f>
        <v/>
      </c>
      <c r="AE460">
        <f>IF(G460="",1,IFERROR(INDEX('Listas'!$P$6:$P$35,MATCH(G460,'Listas'!$M$6:$M$35,0)),1))</f>
        <v>1</v>
      </c>
      <c r="AF460">
        <f>IF(H460="Compra",1,IF(H460="Venta",-1,0))</f>
        <v>0</v>
      </c>
      <c r="AG460">
        <f>IF(AND(D460&lt;&gt;"",ISNUMBER(R460)),1,0)</f>
        <v>0</v>
      </c>
      <c r="AH460">
        <f>IF(AG460=0,0,IF(OR('Panel'!$D$5="Todas las cuentas",'Panel'!$D$5="",F460='Panel'!$D$5),1,0))</f>
        <v>0</v>
      </c>
      <c r="AI460">
        <f>IF(AH460=0,0,IF(AND(OR('Panel'!$G$5="",D460&gt;='Panel'!$G$5),OR('Panel'!$J$5="",D460&lt;='Panel'!$J$5)),1,0))</f>
        <v>0</v>
      </c>
      <c r="AJ460">
        <f>IF(AI460=1,R460,0)</f>
        <v>0</v>
      </c>
      <c r="AK460" t="str">
        <f>IF(AI460=1,'Panel'!$AB$4+SUM($AJ$5:AJ460),"")</f>
        <v/>
      </c>
      <c r="AL460">
        <f>IF(AI460=0,N(AL459),IF(R460&lt;0,N(AL459)+1,0))</f>
        <v>1</v>
      </c>
      <c r="AM460">
        <f>IF(AI460=0,N(AM459),IF(R460&gt;0,N(AM459)+1,0))</f>
        <v>0</v>
      </c>
      <c r="AN460">
        <f>IF(AI460=1,MAX('Panel'!$AB$4,N(AN459),AK460),N(AN459))</f>
        <v>21371.061500000033</v>
      </c>
      <c r="AO460">
        <f>IF(AI460=1,AN460-AK460,0)</f>
        <v>0</v>
      </c>
      <c r="AP460">
        <f>IF(AND(AI460=1,AN460&gt;0),AO460/AN460,0)</f>
        <v>0</v>
      </c>
      <c r="AQ460" t="str">
        <f>IF(AI460=1,SUM($AI$5:AI460),"")</f>
        <v/>
      </c>
      <c r="AR460" t="str">
        <f>IF(AI460=1,IF(COUNTIFS($D$5:D460,D460,$AI$5:AI460,1)=1,SUMIFS($AJ$5:$AJ$504,$D$5:$D$504,D460),""),"")</f>
        <v/>
      </c>
      <c r="AS460" t="str">
        <f>IF(AG460=1,WEEKDAY(D460,2),"")</f>
        <v/>
      </c>
      <c r="AT460" s="31" t="str">
        <f>IF(AG460=1,DATE(YEAR(D460),MONTH(D460),1),"")</f>
        <v/>
      </c>
      <c r="AU460">
        <f>IF(AG460=0,0,IF(AND(OR('Prop challenge'!$D$7="",F460='Prop challenge'!$D$7),OR('Prop challenge'!$D$9="",D460&gt;='Prop challenge'!$D$9)),1,0))</f>
        <v>0</v>
      </c>
      <c r="AV460">
        <f>IF(AU460=1,IF(COUNTIFS($D$5:D460,D460,$AU$5:AU460,1)=1,1,0),0)</f>
        <v>0</v>
      </c>
      <c r="AW460" t="str">
        <f>IF(AV460=1,SUM($AV$5:AV460),"")</f>
        <v/>
      </c>
      <c r="AX460" t="str">
        <f>IF(AV460=1,SUMIFS($R$5:$R$504,$D$5:$D$504,D460,$AU$5:$AU$504,1),"")</f>
        <v/>
      </c>
    </row>
    <row r="461">
      <c r="A461" s="20" t="str">
        <f>IF(AG461=1,ROW()-4,"")</f>
        <v/>
      </c>
      <c r="B461" s="21" t="n"/>
      <c r="C461" s="22" t="n"/>
      <c r="D461" s="21" t="n"/>
      <c r="E461" s="22" t="n"/>
      <c r="F461" s="23" t="n"/>
      <c r="G461" s="23" t="n"/>
      <c r="H461" s="23" t="n"/>
      <c r="I461" s="24" t="n"/>
      <c r="J461" s="25" t="n"/>
      <c r="K461" s="25" t="n"/>
      <c r="L461" s="25" t="n"/>
      <c r="M461" s="25" t="n"/>
      <c r="N461" s="26" t="n"/>
      <c r="O461" s="26" t="n"/>
      <c r="P461" s="27" t="str">
        <f>IF(OR(J461="",K461="",I461="",AF461=0,AD461=""),"",(K461-J461)*AF461*I461*AD461*AE461)</f>
        <v/>
      </c>
      <c r="Q461" s="26" t="n"/>
      <c r="R461" s="28" t="str">
        <f>IF(Q461&lt;&gt;"",Q461,IF(P461="","",P461-N(N461)+N(O461)))</f>
        <v/>
      </c>
      <c r="S461" s="27" t="str">
        <f>IF(OR(L461="",J461="",I461="",AD461=""),"",ABS(J461-L461)*I461*AD461*AE461)</f>
        <v/>
      </c>
      <c r="T461" s="29" t="str">
        <f>IF(OR(R461="",S461="",S461=0),"",R461/S461)</f>
        <v/>
      </c>
      <c r="U461" s="20" t="str">
        <f>IF(R461="","",IF(R461&gt;0,"Ganadora",IF(R461&lt;0,"Perdedora","BE")))</f>
        <v/>
      </c>
      <c r="V461" s="23" t="n"/>
      <c r="W461" s="23" t="n"/>
      <c r="X461" s="23" t="n"/>
      <c r="Y461" s="23" t="n"/>
      <c r="Z461" s="23" t="n"/>
      <c r="AA461" s="23" t="n"/>
      <c r="AB461" s="30" t="n"/>
      <c r="AC461" s="1" t="n"/>
      <c r="AD461" s="1" t="str">
        <f>IF(G461="","",IFERROR(INDEX('Listas'!$N$6:$N$35,MATCH(G461,'Listas'!$M$6:$M$35,0)),""))</f>
        <v/>
      </c>
      <c r="AE461">
        <f>IF(G461="",1,IFERROR(INDEX('Listas'!$P$6:$P$35,MATCH(G461,'Listas'!$M$6:$M$35,0)),1))</f>
        <v>1</v>
      </c>
      <c r="AF461">
        <f>IF(H461="Compra",1,IF(H461="Venta",-1,0))</f>
        <v>0</v>
      </c>
      <c r="AG461">
        <f>IF(AND(D461&lt;&gt;"",ISNUMBER(R461)),1,0)</f>
        <v>0</v>
      </c>
      <c r="AH461">
        <f>IF(AG461=0,0,IF(OR('Panel'!$D$5="Todas las cuentas",'Panel'!$D$5="",F461='Panel'!$D$5),1,0))</f>
        <v>0</v>
      </c>
      <c r="AI461">
        <f>IF(AH461=0,0,IF(AND(OR('Panel'!$G$5="",D461&gt;='Panel'!$G$5),OR('Panel'!$J$5="",D461&lt;='Panel'!$J$5)),1,0))</f>
        <v>0</v>
      </c>
      <c r="AJ461">
        <f>IF(AI461=1,R461,0)</f>
        <v>0</v>
      </c>
      <c r="AK461" t="str">
        <f>IF(AI461=1,'Panel'!$AB$4+SUM($AJ$5:AJ461),"")</f>
        <v/>
      </c>
      <c r="AL461">
        <f>IF(AI461=0,N(AL460),IF(R461&lt;0,N(AL460)+1,0))</f>
        <v>1</v>
      </c>
      <c r="AM461">
        <f>IF(AI461=0,N(AM460),IF(R461&gt;0,N(AM460)+1,0))</f>
        <v>0</v>
      </c>
      <c r="AN461">
        <f>IF(AI461=1,MAX('Panel'!$AB$4,N(AN460),AK461),N(AN460))</f>
        <v>21371.061500000033</v>
      </c>
      <c r="AO461">
        <f>IF(AI461=1,AN461-AK461,0)</f>
        <v>0</v>
      </c>
      <c r="AP461">
        <f>IF(AND(AI461=1,AN461&gt;0),AO461/AN461,0)</f>
        <v>0</v>
      </c>
      <c r="AQ461" t="str">
        <f>IF(AI461=1,SUM($AI$5:AI461),"")</f>
        <v/>
      </c>
      <c r="AR461" t="str">
        <f>IF(AI461=1,IF(COUNTIFS($D$5:D461,D461,$AI$5:AI461,1)=1,SUMIFS($AJ$5:$AJ$504,$D$5:$D$504,D461),""),"")</f>
        <v/>
      </c>
      <c r="AS461" t="str">
        <f>IF(AG461=1,WEEKDAY(D461,2),"")</f>
        <v/>
      </c>
      <c r="AT461" s="31" t="str">
        <f>IF(AG461=1,DATE(YEAR(D461),MONTH(D461),1),"")</f>
        <v/>
      </c>
      <c r="AU461">
        <f>IF(AG461=0,0,IF(AND(OR('Prop challenge'!$D$7="",F461='Prop challenge'!$D$7),OR('Prop challenge'!$D$9="",D461&gt;='Prop challenge'!$D$9)),1,0))</f>
        <v>0</v>
      </c>
      <c r="AV461">
        <f>IF(AU461=1,IF(COUNTIFS($D$5:D461,D461,$AU$5:AU461,1)=1,1,0),0)</f>
        <v>0</v>
      </c>
      <c r="AW461" t="str">
        <f>IF(AV461=1,SUM($AV$5:AV461),"")</f>
        <v/>
      </c>
      <c r="AX461" t="str">
        <f>IF(AV461=1,SUMIFS($R$5:$R$504,$D$5:$D$504,D461,$AU$5:$AU$504,1),"")</f>
        <v/>
      </c>
    </row>
    <row r="462">
      <c r="A462" s="20" t="str">
        <f>IF(AG462=1,ROW()-4,"")</f>
        <v/>
      </c>
      <c r="B462" s="21" t="n"/>
      <c r="C462" s="22" t="n"/>
      <c r="D462" s="21" t="n"/>
      <c r="E462" s="22" t="n"/>
      <c r="F462" s="23" t="n"/>
      <c r="G462" s="23" t="n"/>
      <c r="H462" s="23" t="n"/>
      <c r="I462" s="24" t="n"/>
      <c r="J462" s="25" t="n"/>
      <c r="K462" s="25" t="n"/>
      <c r="L462" s="25" t="n"/>
      <c r="M462" s="25" t="n"/>
      <c r="N462" s="26" t="n"/>
      <c r="O462" s="26" t="n"/>
      <c r="P462" s="27" t="str">
        <f>IF(OR(J462="",K462="",I462="",AF462=0,AD462=""),"",(K462-J462)*AF462*I462*AD462*AE462)</f>
        <v/>
      </c>
      <c r="Q462" s="26" t="n"/>
      <c r="R462" s="28" t="str">
        <f>IF(Q462&lt;&gt;"",Q462,IF(P462="","",P462-N(N462)+N(O462)))</f>
        <v/>
      </c>
      <c r="S462" s="27" t="str">
        <f>IF(OR(L462="",J462="",I462="",AD462=""),"",ABS(J462-L462)*I462*AD462*AE462)</f>
        <v/>
      </c>
      <c r="T462" s="29" t="str">
        <f>IF(OR(R462="",S462="",S462=0),"",R462/S462)</f>
        <v/>
      </c>
      <c r="U462" s="20" t="str">
        <f>IF(R462="","",IF(R462&gt;0,"Ganadora",IF(R462&lt;0,"Perdedora","BE")))</f>
        <v/>
      </c>
      <c r="V462" s="23" t="n"/>
      <c r="W462" s="23" t="n"/>
      <c r="X462" s="23" t="n"/>
      <c r="Y462" s="23" t="n"/>
      <c r="Z462" s="23" t="n"/>
      <c r="AA462" s="23" t="n"/>
      <c r="AB462" s="30" t="n"/>
      <c r="AC462" s="1" t="n"/>
      <c r="AD462" s="1" t="str">
        <f>IF(G462="","",IFERROR(INDEX('Listas'!$N$6:$N$35,MATCH(G462,'Listas'!$M$6:$M$35,0)),""))</f>
        <v/>
      </c>
      <c r="AE462">
        <f>IF(G462="",1,IFERROR(INDEX('Listas'!$P$6:$P$35,MATCH(G462,'Listas'!$M$6:$M$35,0)),1))</f>
        <v>1</v>
      </c>
      <c r="AF462">
        <f>IF(H462="Compra",1,IF(H462="Venta",-1,0))</f>
        <v>0</v>
      </c>
      <c r="AG462">
        <f>IF(AND(D462&lt;&gt;"",ISNUMBER(R462)),1,0)</f>
        <v>0</v>
      </c>
      <c r="AH462">
        <f>IF(AG462=0,0,IF(OR('Panel'!$D$5="Todas las cuentas",'Panel'!$D$5="",F462='Panel'!$D$5),1,0))</f>
        <v>0</v>
      </c>
      <c r="AI462">
        <f>IF(AH462=0,0,IF(AND(OR('Panel'!$G$5="",D462&gt;='Panel'!$G$5),OR('Panel'!$J$5="",D462&lt;='Panel'!$J$5)),1,0))</f>
        <v>0</v>
      </c>
      <c r="AJ462">
        <f>IF(AI462=1,R462,0)</f>
        <v>0</v>
      </c>
      <c r="AK462" t="str">
        <f>IF(AI462=1,'Panel'!$AB$4+SUM($AJ$5:AJ462),"")</f>
        <v/>
      </c>
      <c r="AL462">
        <f>IF(AI462=0,N(AL461),IF(R462&lt;0,N(AL461)+1,0))</f>
        <v>1</v>
      </c>
      <c r="AM462">
        <f>IF(AI462=0,N(AM461),IF(R462&gt;0,N(AM461)+1,0))</f>
        <v>0</v>
      </c>
      <c r="AN462">
        <f>IF(AI462=1,MAX('Panel'!$AB$4,N(AN461),AK462),N(AN461))</f>
        <v>21371.061500000033</v>
      </c>
      <c r="AO462">
        <f>IF(AI462=1,AN462-AK462,0)</f>
        <v>0</v>
      </c>
      <c r="AP462">
        <f>IF(AND(AI462=1,AN462&gt;0),AO462/AN462,0)</f>
        <v>0</v>
      </c>
      <c r="AQ462" t="str">
        <f>IF(AI462=1,SUM($AI$5:AI462),"")</f>
        <v/>
      </c>
      <c r="AR462" t="str">
        <f>IF(AI462=1,IF(COUNTIFS($D$5:D462,D462,$AI$5:AI462,1)=1,SUMIFS($AJ$5:$AJ$504,$D$5:$D$504,D462),""),"")</f>
        <v/>
      </c>
      <c r="AS462" t="str">
        <f>IF(AG462=1,WEEKDAY(D462,2),"")</f>
        <v/>
      </c>
      <c r="AT462" s="31" t="str">
        <f>IF(AG462=1,DATE(YEAR(D462),MONTH(D462),1),"")</f>
        <v/>
      </c>
      <c r="AU462">
        <f>IF(AG462=0,0,IF(AND(OR('Prop challenge'!$D$7="",F462='Prop challenge'!$D$7),OR('Prop challenge'!$D$9="",D462&gt;='Prop challenge'!$D$9)),1,0))</f>
        <v>0</v>
      </c>
      <c r="AV462">
        <f>IF(AU462=1,IF(COUNTIFS($D$5:D462,D462,$AU$5:AU462,1)=1,1,0),0)</f>
        <v>0</v>
      </c>
      <c r="AW462" t="str">
        <f>IF(AV462=1,SUM($AV$5:AV462),"")</f>
        <v/>
      </c>
      <c r="AX462" t="str">
        <f>IF(AV462=1,SUMIFS($R$5:$R$504,$D$5:$D$504,D462,$AU$5:$AU$504,1),"")</f>
        <v/>
      </c>
    </row>
    <row r="463">
      <c r="A463" s="20" t="str">
        <f>IF(AG463=1,ROW()-4,"")</f>
        <v/>
      </c>
      <c r="B463" s="21" t="n"/>
      <c r="C463" s="22" t="n"/>
      <c r="D463" s="21" t="n"/>
      <c r="E463" s="22" t="n"/>
      <c r="F463" s="23" t="n"/>
      <c r="G463" s="23" t="n"/>
      <c r="H463" s="23" t="n"/>
      <c r="I463" s="24" t="n"/>
      <c r="J463" s="25" t="n"/>
      <c r="K463" s="25" t="n"/>
      <c r="L463" s="25" t="n"/>
      <c r="M463" s="25" t="n"/>
      <c r="N463" s="26" t="n"/>
      <c r="O463" s="26" t="n"/>
      <c r="P463" s="27" t="str">
        <f>IF(OR(J463="",K463="",I463="",AF463=0,AD463=""),"",(K463-J463)*AF463*I463*AD463*AE463)</f>
        <v/>
      </c>
      <c r="Q463" s="26" t="n"/>
      <c r="R463" s="28" t="str">
        <f>IF(Q463&lt;&gt;"",Q463,IF(P463="","",P463-N(N463)+N(O463)))</f>
        <v/>
      </c>
      <c r="S463" s="27" t="str">
        <f>IF(OR(L463="",J463="",I463="",AD463=""),"",ABS(J463-L463)*I463*AD463*AE463)</f>
        <v/>
      </c>
      <c r="T463" s="29" t="str">
        <f>IF(OR(R463="",S463="",S463=0),"",R463/S463)</f>
        <v/>
      </c>
      <c r="U463" s="20" t="str">
        <f>IF(R463="","",IF(R463&gt;0,"Ganadora",IF(R463&lt;0,"Perdedora","BE")))</f>
        <v/>
      </c>
      <c r="V463" s="23" t="n"/>
      <c r="W463" s="23" t="n"/>
      <c r="X463" s="23" t="n"/>
      <c r="Y463" s="23" t="n"/>
      <c r="Z463" s="23" t="n"/>
      <c r="AA463" s="23" t="n"/>
      <c r="AB463" s="30" t="n"/>
      <c r="AC463" s="1" t="n"/>
      <c r="AD463" s="1" t="str">
        <f>IF(G463="","",IFERROR(INDEX('Listas'!$N$6:$N$35,MATCH(G463,'Listas'!$M$6:$M$35,0)),""))</f>
        <v/>
      </c>
      <c r="AE463">
        <f>IF(G463="",1,IFERROR(INDEX('Listas'!$P$6:$P$35,MATCH(G463,'Listas'!$M$6:$M$35,0)),1))</f>
        <v>1</v>
      </c>
      <c r="AF463">
        <f>IF(H463="Compra",1,IF(H463="Venta",-1,0))</f>
        <v>0</v>
      </c>
      <c r="AG463">
        <f>IF(AND(D463&lt;&gt;"",ISNUMBER(R463)),1,0)</f>
        <v>0</v>
      </c>
      <c r="AH463">
        <f>IF(AG463=0,0,IF(OR('Panel'!$D$5="Todas las cuentas",'Panel'!$D$5="",F463='Panel'!$D$5),1,0))</f>
        <v>0</v>
      </c>
      <c r="AI463">
        <f>IF(AH463=0,0,IF(AND(OR('Panel'!$G$5="",D463&gt;='Panel'!$G$5),OR('Panel'!$J$5="",D463&lt;='Panel'!$J$5)),1,0))</f>
        <v>0</v>
      </c>
      <c r="AJ463">
        <f>IF(AI463=1,R463,0)</f>
        <v>0</v>
      </c>
      <c r="AK463" t="str">
        <f>IF(AI463=1,'Panel'!$AB$4+SUM($AJ$5:AJ463),"")</f>
        <v/>
      </c>
      <c r="AL463">
        <f>IF(AI463=0,N(AL462),IF(R463&lt;0,N(AL462)+1,0))</f>
        <v>1</v>
      </c>
      <c r="AM463">
        <f>IF(AI463=0,N(AM462),IF(R463&gt;0,N(AM462)+1,0))</f>
        <v>0</v>
      </c>
      <c r="AN463">
        <f>IF(AI463=1,MAX('Panel'!$AB$4,N(AN462),AK463),N(AN462))</f>
        <v>21371.061500000033</v>
      </c>
      <c r="AO463">
        <f>IF(AI463=1,AN463-AK463,0)</f>
        <v>0</v>
      </c>
      <c r="AP463">
        <f>IF(AND(AI463=1,AN463&gt;0),AO463/AN463,0)</f>
        <v>0</v>
      </c>
      <c r="AQ463" t="str">
        <f>IF(AI463=1,SUM($AI$5:AI463),"")</f>
        <v/>
      </c>
      <c r="AR463" t="str">
        <f>IF(AI463=1,IF(COUNTIFS($D$5:D463,D463,$AI$5:AI463,1)=1,SUMIFS($AJ$5:$AJ$504,$D$5:$D$504,D463),""),"")</f>
        <v/>
      </c>
      <c r="AS463" t="str">
        <f>IF(AG463=1,WEEKDAY(D463,2),"")</f>
        <v/>
      </c>
      <c r="AT463" s="31" t="str">
        <f>IF(AG463=1,DATE(YEAR(D463),MONTH(D463),1),"")</f>
        <v/>
      </c>
      <c r="AU463">
        <f>IF(AG463=0,0,IF(AND(OR('Prop challenge'!$D$7="",F463='Prop challenge'!$D$7),OR('Prop challenge'!$D$9="",D463&gt;='Prop challenge'!$D$9)),1,0))</f>
        <v>0</v>
      </c>
      <c r="AV463">
        <f>IF(AU463=1,IF(COUNTIFS($D$5:D463,D463,$AU$5:AU463,1)=1,1,0),0)</f>
        <v>0</v>
      </c>
      <c r="AW463" t="str">
        <f>IF(AV463=1,SUM($AV$5:AV463),"")</f>
        <v/>
      </c>
      <c r="AX463" t="str">
        <f>IF(AV463=1,SUMIFS($R$5:$R$504,$D$5:$D$504,D463,$AU$5:$AU$504,1),"")</f>
        <v/>
      </c>
    </row>
    <row r="464">
      <c r="A464" s="20" t="str">
        <f>IF(AG464=1,ROW()-4,"")</f>
        <v/>
      </c>
      <c r="B464" s="21" t="n"/>
      <c r="C464" s="22" t="n"/>
      <c r="D464" s="21" t="n"/>
      <c r="E464" s="22" t="n"/>
      <c r="F464" s="23" t="n"/>
      <c r="G464" s="23" t="n"/>
      <c r="H464" s="23" t="n"/>
      <c r="I464" s="24" t="n"/>
      <c r="J464" s="25" t="n"/>
      <c r="K464" s="25" t="n"/>
      <c r="L464" s="25" t="n"/>
      <c r="M464" s="25" t="n"/>
      <c r="N464" s="26" t="n"/>
      <c r="O464" s="26" t="n"/>
      <c r="P464" s="27" t="str">
        <f>IF(OR(J464="",K464="",I464="",AF464=0,AD464=""),"",(K464-J464)*AF464*I464*AD464*AE464)</f>
        <v/>
      </c>
      <c r="Q464" s="26" t="n"/>
      <c r="R464" s="28" t="str">
        <f>IF(Q464&lt;&gt;"",Q464,IF(P464="","",P464-N(N464)+N(O464)))</f>
        <v/>
      </c>
      <c r="S464" s="27" t="str">
        <f>IF(OR(L464="",J464="",I464="",AD464=""),"",ABS(J464-L464)*I464*AD464*AE464)</f>
        <v/>
      </c>
      <c r="T464" s="29" t="str">
        <f>IF(OR(R464="",S464="",S464=0),"",R464/S464)</f>
        <v/>
      </c>
      <c r="U464" s="20" t="str">
        <f>IF(R464="","",IF(R464&gt;0,"Ganadora",IF(R464&lt;0,"Perdedora","BE")))</f>
        <v/>
      </c>
      <c r="V464" s="23" t="n"/>
      <c r="W464" s="23" t="n"/>
      <c r="X464" s="23" t="n"/>
      <c r="Y464" s="23" t="n"/>
      <c r="Z464" s="23" t="n"/>
      <c r="AA464" s="23" t="n"/>
      <c r="AB464" s="30" t="n"/>
      <c r="AC464" s="1" t="n"/>
      <c r="AD464" s="1" t="str">
        <f>IF(G464="","",IFERROR(INDEX('Listas'!$N$6:$N$35,MATCH(G464,'Listas'!$M$6:$M$35,0)),""))</f>
        <v/>
      </c>
      <c r="AE464">
        <f>IF(G464="",1,IFERROR(INDEX('Listas'!$P$6:$P$35,MATCH(G464,'Listas'!$M$6:$M$35,0)),1))</f>
        <v>1</v>
      </c>
      <c r="AF464">
        <f>IF(H464="Compra",1,IF(H464="Venta",-1,0))</f>
        <v>0</v>
      </c>
      <c r="AG464">
        <f>IF(AND(D464&lt;&gt;"",ISNUMBER(R464)),1,0)</f>
        <v>0</v>
      </c>
      <c r="AH464">
        <f>IF(AG464=0,0,IF(OR('Panel'!$D$5="Todas las cuentas",'Panel'!$D$5="",F464='Panel'!$D$5),1,0))</f>
        <v>0</v>
      </c>
      <c r="AI464">
        <f>IF(AH464=0,0,IF(AND(OR('Panel'!$G$5="",D464&gt;='Panel'!$G$5),OR('Panel'!$J$5="",D464&lt;='Panel'!$J$5)),1,0))</f>
        <v>0</v>
      </c>
      <c r="AJ464">
        <f>IF(AI464=1,R464,0)</f>
        <v>0</v>
      </c>
      <c r="AK464" t="str">
        <f>IF(AI464=1,'Panel'!$AB$4+SUM($AJ$5:AJ464),"")</f>
        <v/>
      </c>
      <c r="AL464">
        <f>IF(AI464=0,N(AL463),IF(R464&lt;0,N(AL463)+1,0))</f>
        <v>1</v>
      </c>
      <c r="AM464">
        <f>IF(AI464=0,N(AM463),IF(R464&gt;0,N(AM463)+1,0))</f>
        <v>0</v>
      </c>
      <c r="AN464">
        <f>IF(AI464=1,MAX('Panel'!$AB$4,N(AN463),AK464),N(AN463))</f>
        <v>21371.061500000033</v>
      </c>
      <c r="AO464">
        <f>IF(AI464=1,AN464-AK464,0)</f>
        <v>0</v>
      </c>
      <c r="AP464">
        <f>IF(AND(AI464=1,AN464&gt;0),AO464/AN464,0)</f>
        <v>0</v>
      </c>
      <c r="AQ464" t="str">
        <f>IF(AI464=1,SUM($AI$5:AI464),"")</f>
        <v/>
      </c>
      <c r="AR464" t="str">
        <f>IF(AI464=1,IF(COUNTIFS($D$5:D464,D464,$AI$5:AI464,1)=1,SUMIFS($AJ$5:$AJ$504,$D$5:$D$504,D464),""),"")</f>
        <v/>
      </c>
      <c r="AS464" t="str">
        <f>IF(AG464=1,WEEKDAY(D464,2),"")</f>
        <v/>
      </c>
      <c r="AT464" s="31" t="str">
        <f>IF(AG464=1,DATE(YEAR(D464),MONTH(D464),1),"")</f>
        <v/>
      </c>
      <c r="AU464">
        <f>IF(AG464=0,0,IF(AND(OR('Prop challenge'!$D$7="",F464='Prop challenge'!$D$7),OR('Prop challenge'!$D$9="",D464&gt;='Prop challenge'!$D$9)),1,0))</f>
        <v>0</v>
      </c>
      <c r="AV464">
        <f>IF(AU464=1,IF(COUNTIFS($D$5:D464,D464,$AU$5:AU464,1)=1,1,0),0)</f>
        <v>0</v>
      </c>
      <c r="AW464" t="str">
        <f>IF(AV464=1,SUM($AV$5:AV464),"")</f>
        <v/>
      </c>
      <c r="AX464" t="str">
        <f>IF(AV464=1,SUMIFS($R$5:$R$504,$D$5:$D$504,D464,$AU$5:$AU$504,1),"")</f>
        <v/>
      </c>
    </row>
    <row r="465">
      <c r="A465" s="20" t="str">
        <f>IF(AG465=1,ROW()-4,"")</f>
        <v/>
      </c>
      <c r="B465" s="21" t="n"/>
      <c r="C465" s="22" t="n"/>
      <c r="D465" s="21" t="n"/>
      <c r="E465" s="22" t="n"/>
      <c r="F465" s="23" t="n"/>
      <c r="G465" s="23" t="n"/>
      <c r="H465" s="23" t="n"/>
      <c r="I465" s="24" t="n"/>
      <c r="J465" s="25" t="n"/>
      <c r="K465" s="25" t="n"/>
      <c r="L465" s="25" t="n"/>
      <c r="M465" s="25" t="n"/>
      <c r="N465" s="26" t="n"/>
      <c r="O465" s="26" t="n"/>
      <c r="P465" s="27" t="str">
        <f>IF(OR(J465="",K465="",I465="",AF465=0,AD465=""),"",(K465-J465)*AF465*I465*AD465*AE465)</f>
        <v/>
      </c>
      <c r="Q465" s="26" t="n"/>
      <c r="R465" s="28" t="str">
        <f>IF(Q465&lt;&gt;"",Q465,IF(P465="","",P465-N(N465)+N(O465)))</f>
        <v/>
      </c>
      <c r="S465" s="27" t="str">
        <f>IF(OR(L465="",J465="",I465="",AD465=""),"",ABS(J465-L465)*I465*AD465*AE465)</f>
        <v/>
      </c>
      <c r="T465" s="29" t="str">
        <f>IF(OR(R465="",S465="",S465=0),"",R465/S465)</f>
        <v/>
      </c>
      <c r="U465" s="20" t="str">
        <f>IF(R465="","",IF(R465&gt;0,"Ganadora",IF(R465&lt;0,"Perdedora","BE")))</f>
        <v/>
      </c>
      <c r="V465" s="23" t="n"/>
      <c r="W465" s="23" t="n"/>
      <c r="X465" s="23" t="n"/>
      <c r="Y465" s="23" t="n"/>
      <c r="Z465" s="23" t="n"/>
      <c r="AA465" s="23" t="n"/>
      <c r="AB465" s="30" t="n"/>
      <c r="AC465" s="1" t="n"/>
      <c r="AD465" s="1" t="str">
        <f>IF(G465="","",IFERROR(INDEX('Listas'!$N$6:$N$35,MATCH(G465,'Listas'!$M$6:$M$35,0)),""))</f>
        <v/>
      </c>
      <c r="AE465">
        <f>IF(G465="",1,IFERROR(INDEX('Listas'!$P$6:$P$35,MATCH(G465,'Listas'!$M$6:$M$35,0)),1))</f>
        <v>1</v>
      </c>
      <c r="AF465">
        <f>IF(H465="Compra",1,IF(H465="Venta",-1,0))</f>
        <v>0</v>
      </c>
      <c r="AG465">
        <f>IF(AND(D465&lt;&gt;"",ISNUMBER(R465)),1,0)</f>
        <v>0</v>
      </c>
      <c r="AH465">
        <f>IF(AG465=0,0,IF(OR('Panel'!$D$5="Todas las cuentas",'Panel'!$D$5="",F465='Panel'!$D$5),1,0))</f>
        <v>0</v>
      </c>
      <c r="AI465">
        <f>IF(AH465=0,0,IF(AND(OR('Panel'!$G$5="",D465&gt;='Panel'!$G$5),OR('Panel'!$J$5="",D465&lt;='Panel'!$J$5)),1,0))</f>
        <v>0</v>
      </c>
      <c r="AJ465">
        <f>IF(AI465=1,R465,0)</f>
        <v>0</v>
      </c>
      <c r="AK465" t="str">
        <f>IF(AI465=1,'Panel'!$AB$4+SUM($AJ$5:AJ465),"")</f>
        <v/>
      </c>
      <c r="AL465">
        <f>IF(AI465=0,N(AL464),IF(R465&lt;0,N(AL464)+1,0))</f>
        <v>1</v>
      </c>
      <c r="AM465">
        <f>IF(AI465=0,N(AM464),IF(R465&gt;0,N(AM464)+1,0))</f>
        <v>0</v>
      </c>
      <c r="AN465">
        <f>IF(AI465=1,MAX('Panel'!$AB$4,N(AN464),AK465),N(AN464))</f>
        <v>21371.061500000033</v>
      </c>
      <c r="AO465">
        <f>IF(AI465=1,AN465-AK465,0)</f>
        <v>0</v>
      </c>
      <c r="AP465">
        <f>IF(AND(AI465=1,AN465&gt;0),AO465/AN465,0)</f>
        <v>0</v>
      </c>
      <c r="AQ465" t="str">
        <f>IF(AI465=1,SUM($AI$5:AI465),"")</f>
        <v/>
      </c>
      <c r="AR465" t="str">
        <f>IF(AI465=1,IF(COUNTIFS($D$5:D465,D465,$AI$5:AI465,1)=1,SUMIFS($AJ$5:$AJ$504,$D$5:$D$504,D465),""),"")</f>
        <v/>
      </c>
      <c r="AS465" t="str">
        <f>IF(AG465=1,WEEKDAY(D465,2),"")</f>
        <v/>
      </c>
      <c r="AT465" s="31" t="str">
        <f>IF(AG465=1,DATE(YEAR(D465),MONTH(D465),1),"")</f>
        <v/>
      </c>
      <c r="AU465">
        <f>IF(AG465=0,0,IF(AND(OR('Prop challenge'!$D$7="",F465='Prop challenge'!$D$7),OR('Prop challenge'!$D$9="",D465&gt;='Prop challenge'!$D$9)),1,0))</f>
        <v>0</v>
      </c>
      <c r="AV465">
        <f>IF(AU465=1,IF(COUNTIFS($D$5:D465,D465,$AU$5:AU465,1)=1,1,0),0)</f>
        <v>0</v>
      </c>
      <c r="AW465" t="str">
        <f>IF(AV465=1,SUM($AV$5:AV465),"")</f>
        <v/>
      </c>
      <c r="AX465" t="str">
        <f>IF(AV465=1,SUMIFS($R$5:$R$504,$D$5:$D$504,D465,$AU$5:$AU$504,1),"")</f>
        <v/>
      </c>
    </row>
    <row r="466">
      <c r="A466" s="20" t="str">
        <f>IF(AG466=1,ROW()-4,"")</f>
        <v/>
      </c>
      <c r="B466" s="21" t="n"/>
      <c r="C466" s="22" t="n"/>
      <c r="D466" s="21" t="n"/>
      <c r="E466" s="22" t="n"/>
      <c r="F466" s="23" t="n"/>
      <c r="G466" s="23" t="n"/>
      <c r="H466" s="23" t="n"/>
      <c r="I466" s="24" t="n"/>
      <c r="J466" s="25" t="n"/>
      <c r="K466" s="25" t="n"/>
      <c r="L466" s="25" t="n"/>
      <c r="M466" s="25" t="n"/>
      <c r="N466" s="26" t="n"/>
      <c r="O466" s="26" t="n"/>
      <c r="P466" s="27" t="str">
        <f>IF(OR(J466="",K466="",I466="",AF466=0,AD466=""),"",(K466-J466)*AF466*I466*AD466*AE466)</f>
        <v/>
      </c>
      <c r="Q466" s="26" t="n"/>
      <c r="R466" s="28" t="str">
        <f>IF(Q466&lt;&gt;"",Q466,IF(P466="","",P466-N(N466)+N(O466)))</f>
        <v/>
      </c>
      <c r="S466" s="27" t="str">
        <f>IF(OR(L466="",J466="",I466="",AD466=""),"",ABS(J466-L466)*I466*AD466*AE466)</f>
        <v/>
      </c>
      <c r="T466" s="29" t="str">
        <f>IF(OR(R466="",S466="",S466=0),"",R466/S466)</f>
        <v/>
      </c>
      <c r="U466" s="20" t="str">
        <f>IF(R466="","",IF(R466&gt;0,"Ganadora",IF(R466&lt;0,"Perdedora","BE")))</f>
        <v/>
      </c>
      <c r="V466" s="23" t="n"/>
      <c r="W466" s="23" t="n"/>
      <c r="X466" s="23" t="n"/>
      <c r="Y466" s="23" t="n"/>
      <c r="Z466" s="23" t="n"/>
      <c r="AA466" s="23" t="n"/>
      <c r="AB466" s="30" t="n"/>
      <c r="AC466" s="1" t="n"/>
      <c r="AD466" s="1" t="str">
        <f>IF(G466="","",IFERROR(INDEX('Listas'!$N$6:$N$35,MATCH(G466,'Listas'!$M$6:$M$35,0)),""))</f>
        <v/>
      </c>
      <c r="AE466">
        <f>IF(G466="",1,IFERROR(INDEX('Listas'!$P$6:$P$35,MATCH(G466,'Listas'!$M$6:$M$35,0)),1))</f>
        <v>1</v>
      </c>
      <c r="AF466">
        <f>IF(H466="Compra",1,IF(H466="Venta",-1,0))</f>
        <v>0</v>
      </c>
      <c r="AG466">
        <f>IF(AND(D466&lt;&gt;"",ISNUMBER(R466)),1,0)</f>
        <v>0</v>
      </c>
      <c r="AH466">
        <f>IF(AG466=0,0,IF(OR('Panel'!$D$5="Todas las cuentas",'Panel'!$D$5="",F466='Panel'!$D$5),1,0))</f>
        <v>0</v>
      </c>
      <c r="AI466">
        <f>IF(AH466=0,0,IF(AND(OR('Panel'!$G$5="",D466&gt;='Panel'!$G$5),OR('Panel'!$J$5="",D466&lt;='Panel'!$J$5)),1,0))</f>
        <v>0</v>
      </c>
      <c r="AJ466">
        <f>IF(AI466=1,R466,0)</f>
        <v>0</v>
      </c>
      <c r="AK466" t="str">
        <f>IF(AI466=1,'Panel'!$AB$4+SUM($AJ$5:AJ466),"")</f>
        <v/>
      </c>
      <c r="AL466">
        <f>IF(AI466=0,N(AL465),IF(R466&lt;0,N(AL465)+1,0))</f>
        <v>1</v>
      </c>
      <c r="AM466">
        <f>IF(AI466=0,N(AM465),IF(R466&gt;0,N(AM465)+1,0))</f>
        <v>0</v>
      </c>
      <c r="AN466">
        <f>IF(AI466=1,MAX('Panel'!$AB$4,N(AN465),AK466),N(AN465))</f>
        <v>21371.061500000033</v>
      </c>
      <c r="AO466">
        <f>IF(AI466=1,AN466-AK466,0)</f>
        <v>0</v>
      </c>
      <c r="AP466">
        <f>IF(AND(AI466=1,AN466&gt;0),AO466/AN466,0)</f>
        <v>0</v>
      </c>
      <c r="AQ466" t="str">
        <f>IF(AI466=1,SUM($AI$5:AI466),"")</f>
        <v/>
      </c>
      <c r="AR466" t="str">
        <f>IF(AI466=1,IF(COUNTIFS($D$5:D466,D466,$AI$5:AI466,1)=1,SUMIFS($AJ$5:$AJ$504,$D$5:$D$504,D466),""),"")</f>
        <v/>
      </c>
      <c r="AS466" t="str">
        <f>IF(AG466=1,WEEKDAY(D466,2),"")</f>
        <v/>
      </c>
      <c r="AT466" s="31" t="str">
        <f>IF(AG466=1,DATE(YEAR(D466),MONTH(D466),1),"")</f>
        <v/>
      </c>
      <c r="AU466">
        <f>IF(AG466=0,0,IF(AND(OR('Prop challenge'!$D$7="",F466='Prop challenge'!$D$7),OR('Prop challenge'!$D$9="",D466&gt;='Prop challenge'!$D$9)),1,0))</f>
        <v>0</v>
      </c>
      <c r="AV466">
        <f>IF(AU466=1,IF(COUNTIFS($D$5:D466,D466,$AU$5:AU466,1)=1,1,0),0)</f>
        <v>0</v>
      </c>
      <c r="AW466" t="str">
        <f>IF(AV466=1,SUM($AV$5:AV466),"")</f>
        <v/>
      </c>
      <c r="AX466" t="str">
        <f>IF(AV466=1,SUMIFS($R$5:$R$504,$D$5:$D$504,D466,$AU$5:$AU$504,1),"")</f>
        <v/>
      </c>
    </row>
    <row r="467">
      <c r="A467" s="20" t="str">
        <f>IF(AG467=1,ROW()-4,"")</f>
        <v/>
      </c>
      <c r="B467" s="21" t="n"/>
      <c r="C467" s="22" t="n"/>
      <c r="D467" s="21" t="n"/>
      <c r="E467" s="22" t="n"/>
      <c r="F467" s="23" t="n"/>
      <c r="G467" s="23" t="n"/>
      <c r="H467" s="23" t="n"/>
      <c r="I467" s="24" t="n"/>
      <c r="J467" s="25" t="n"/>
      <c r="K467" s="25" t="n"/>
      <c r="L467" s="25" t="n"/>
      <c r="M467" s="25" t="n"/>
      <c r="N467" s="26" t="n"/>
      <c r="O467" s="26" t="n"/>
      <c r="P467" s="27" t="str">
        <f>IF(OR(J467="",K467="",I467="",AF467=0,AD467=""),"",(K467-J467)*AF467*I467*AD467*AE467)</f>
        <v/>
      </c>
      <c r="Q467" s="26" t="n"/>
      <c r="R467" s="28" t="str">
        <f>IF(Q467&lt;&gt;"",Q467,IF(P467="","",P467-N(N467)+N(O467)))</f>
        <v/>
      </c>
      <c r="S467" s="27" t="str">
        <f>IF(OR(L467="",J467="",I467="",AD467=""),"",ABS(J467-L467)*I467*AD467*AE467)</f>
        <v/>
      </c>
      <c r="T467" s="29" t="str">
        <f>IF(OR(R467="",S467="",S467=0),"",R467/S467)</f>
        <v/>
      </c>
      <c r="U467" s="20" t="str">
        <f>IF(R467="","",IF(R467&gt;0,"Ganadora",IF(R467&lt;0,"Perdedora","BE")))</f>
        <v/>
      </c>
      <c r="V467" s="23" t="n"/>
      <c r="W467" s="23" t="n"/>
      <c r="X467" s="23" t="n"/>
      <c r="Y467" s="23" t="n"/>
      <c r="Z467" s="23" t="n"/>
      <c r="AA467" s="23" t="n"/>
      <c r="AB467" s="30" t="n"/>
      <c r="AC467" s="1" t="n"/>
      <c r="AD467" s="1" t="str">
        <f>IF(G467="","",IFERROR(INDEX('Listas'!$N$6:$N$35,MATCH(G467,'Listas'!$M$6:$M$35,0)),""))</f>
        <v/>
      </c>
      <c r="AE467">
        <f>IF(G467="",1,IFERROR(INDEX('Listas'!$P$6:$P$35,MATCH(G467,'Listas'!$M$6:$M$35,0)),1))</f>
        <v>1</v>
      </c>
      <c r="AF467">
        <f>IF(H467="Compra",1,IF(H467="Venta",-1,0))</f>
        <v>0</v>
      </c>
      <c r="AG467">
        <f>IF(AND(D467&lt;&gt;"",ISNUMBER(R467)),1,0)</f>
        <v>0</v>
      </c>
      <c r="AH467">
        <f>IF(AG467=0,0,IF(OR('Panel'!$D$5="Todas las cuentas",'Panel'!$D$5="",F467='Panel'!$D$5),1,0))</f>
        <v>0</v>
      </c>
      <c r="AI467">
        <f>IF(AH467=0,0,IF(AND(OR('Panel'!$G$5="",D467&gt;='Panel'!$G$5),OR('Panel'!$J$5="",D467&lt;='Panel'!$J$5)),1,0))</f>
        <v>0</v>
      </c>
      <c r="AJ467">
        <f>IF(AI467=1,R467,0)</f>
        <v>0</v>
      </c>
      <c r="AK467" t="str">
        <f>IF(AI467=1,'Panel'!$AB$4+SUM($AJ$5:AJ467),"")</f>
        <v/>
      </c>
      <c r="AL467">
        <f>IF(AI467=0,N(AL466),IF(R467&lt;0,N(AL466)+1,0))</f>
        <v>1</v>
      </c>
      <c r="AM467">
        <f>IF(AI467=0,N(AM466),IF(R467&gt;0,N(AM466)+1,0))</f>
        <v>0</v>
      </c>
      <c r="AN467">
        <f>IF(AI467=1,MAX('Panel'!$AB$4,N(AN466),AK467),N(AN466))</f>
        <v>21371.061500000033</v>
      </c>
      <c r="AO467">
        <f>IF(AI467=1,AN467-AK467,0)</f>
        <v>0</v>
      </c>
      <c r="AP467">
        <f>IF(AND(AI467=1,AN467&gt;0),AO467/AN467,0)</f>
        <v>0</v>
      </c>
      <c r="AQ467" t="str">
        <f>IF(AI467=1,SUM($AI$5:AI467),"")</f>
        <v/>
      </c>
      <c r="AR467" t="str">
        <f>IF(AI467=1,IF(COUNTIFS($D$5:D467,D467,$AI$5:AI467,1)=1,SUMIFS($AJ$5:$AJ$504,$D$5:$D$504,D467),""),"")</f>
        <v/>
      </c>
      <c r="AS467" t="str">
        <f>IF(AG467=1,WEEKDAY(D467,2),"")</f>
        <v/>
      </c>
      <c r="AT467" s="31" t="str">
        <f>IF(AG467=1,DATE(YEAR(D467),MONTH(D467),1),"")</f>
        <v/>
      </c>
      <c r="AU467">
        <f>IF(AG467=0,0,IF(AND(OR('Prop challenge'!$D$7="",F467='Prop challenge'!$D$7),OR('Prop challenge'!$D$9="",D467&gt;='Prop challenge'!$D$9)),1,0))</f>
        <v>0</v>
      </c>
      <c r="AV467">
        <f>IF(AU467=1,IF(COUNTIFS($D$5:D467,D467,$AU$5:AU467,1)=1,1,0),0)</f>
        <v>0</v>
      </c>
      <c r="AW467" t="str">
        <f>IF(AV467=1,SUM($AV$5:AV467),"")</f>
        <v/>
      </c>
      <c r="AX467" t="str">
        <f>IF(AV467=1,SUMIFS($R$5:$R$504,$D$5:$D$504,D467,$AU$5:$AU$504,1),"")</f>
        <v/>
      </c>
    </row>
    <row r="468">
      <c r="A468" s="20" t="str">
        <f>IF(AG468=1,ROW()-4,"")</f>
        <v/>
      </c>
      <c r="B468" s="21" t="n"/>
      <c r="C468" s="22" t="n"/>
      <c r="D468" s="21" t="n"/>
      <c r="E468" s="22" t="n"/>
      <c r="F468" s="23" t="n"/>
      <c r="G468" s="23" t="n"/>
      <c r="H468" s="23" t="n"/>
      <c r="I468" s="24" t="n"/>
      <c r="J468" s="25" t="n"/>
      <c r="K468" s="25" t="n"/>
      <c r="L468" s="25" t="n"/>
      <c r="M468" s="25" t="n"/>
      <c r="N468" s="26" t="n"/>
      <c r="O468" s="26" t="n"/>
      <c r="P468" s="27" t="str">
        <f>IF(OR(J468="",K468="",I468="",AF468=0,AD468=""),"",(K468-J468)*AF468*I468*AD468*AE468)</f>
        <v/>
      </c>
      <c r="Q468" s="26" t="n"/>
      <c r="R468" s="28" t="str">
        <f>IF(Q468&lt;&gt;"",Q468,IF(P468="","",P468-N(N468)+N(O468)))</f>
        <v/>
      </c>
      <c r="S468" s="27" t="str">
        <f>IF(OR(L468="",J468="",I468="",AD468=""),"",ABS(J468-L468)*I468*AD468*AE468)</f>
        <v/>
      </c>
      <c r="T468" s="29" t="str">
        <f>IF(OR(R468="",S468="",S468=0),"",R468/S468)</f>
        <v/>
      </c>
      <c r="U468" s="20" t="str">
        <f>IF(R468="","",IF(R468&gt;0,"Ganadora",IF(R468&lt;0,"Perdedora","BE")))</f>
        <v/>
      </c>
      <c r="V468" s="23" t="n"/>
      <c r="W468" s="23" t="n"/>
      <c r="X468" s="23" t="n"/>
      <c r="Y468" s="23" t="n"/>
      <c r="Z468" s="23" t="n"/>
      <c r="AA468" s="23" t="n"/>
      <c r="AB468" s="30" t="n"/>
      <c r="AC468" s="1" t="n"/>
      <c r="AD468" s="1" t="str">
        <f>IF(G468="","",IFERROR(INDEX('Listas'!$N$6:$N$35,MATCH(G468,'Listas'!$M$6:$M$35,0)),""))</f>
        <v/>
      </c>
      <c r="AE468">
        <f>IF(G468="",1,IFERROR(INDEX('Listas'!$P$6:$P$35,MATCH(G468,'Listas'!$M$6:$M$35,0)),1))</f>
        <v>1</v>
      </c>
      <c r="AF468">
        <f>IF(H468="Compra",1,IF(H468="Venta",-1,0))</f>
        <v>0</v>
      </c>
      <c r="AG468">
        <f>IF(AND(D468&lt;&gt;"",ISNUMBER(R468)),1,0)</f>
        <v>0</v>
      </c>
      <c r="AH468">
        <f>IF(AG468=0,0,IF(OR('Panel'!$D$5="Todas las cuentas",'Panel'!$D$5="",F468='Panel'!$D$5),1,0))</f>
        <v>0</v>
      </c>
      <c r="AI468">
        <f>IF(AH468=0,0,IF(AND(OR('Panel'!$G$5="",D468&gt;='Panel'!$G$5),OR('Panel'!$J$5="",D468&lt;='Panel'!$J$5)),1,0))</f>
        <v>0</v>
      </c>
      <c r="AJ468">
        <f>IF(AI468=1,R468,0)</f>
        <v>0</v>
      </c>
      <c r="AK468" t="str">
        <f>IF(AI468=1,'Panel'!$AB$4+SUM($AJ$5:AJ468),"")</f>
        <v/>
      </c>
      <c r="AL468">
        <f>IF(AI468=0,N(AL467),IF(R468&lt;0,N(AL467)+1,0))</f>
        <v>1</v>
      </c>
      <c r="AM468">
        <f>IF(AI468=0,N(AM467),IF(R468&gt;0,N(AM467)+1,0))</f>
        <v>0</v>
      </c>
      <c r="AN468">
        <f>IF(AI468=1,MAX('Panel'!$AB$4,N(AN467),AK468),N(AN467))</f>
        <v>21371.061500000033</v>
      </c>
      <c r="AO468">
        <f>IF(AI468=1,AN468-AK468,0)</f>
        <v>0</v>
      </c>
      <c r="AP468">
        <f>IF(AND(AI468=1,AN468&gt;0),AO468/AN468,0)</f>
        <v>0</v>
      </c>
      <c r="AQ468" t="str">
        <f>IF(AI468=1,SUM($AI$5:AI468),"")</f>
        <v/>
      </c>
      <c r="AR468" t="str">
        <f>IF(AI468=1,IF(COUNTIFS($D$5:D468,D468,$AI$5:AI468,1)=1,SUMIFS($AJ$5:$AJ$504,$D$5:$D$504,D468),""),"")</f>
        <v/>
      </c>
      <c r="AS468" t="str">
        <f>IF(AG468=1,WEEKDAY(D468,2),"")</f>
        <v/>
      </c>
      <c r="AT468" s="31" t="str">
        <f>IF(AG468=1,DATE(YEAR(D468),MONTH(D468),1),"")</f>
        <v/>
      </c>
      <c r="AU468">
        <f>IF(AG468=0,0,IF(AND(OR('Prop challenge'!$D$7="",F468='Prop challenge'!$D$7),OR('Prop challenge'!$D$9="",D468&gt;='Prop challenge'!$D$9)),1,0))</f>
        <v>0</v>
      </c>
      <c r="AV468">
        <f>IF(AU468=1,IF(COUNTIFS($D$5:D468,D468,$AU$5:AU468,1)=1,1,0),0)</f>
        <v>0</v>
      </c>
      <c r="AW468" t="str">
        <f>IF(AV468=1,SUM($AV$5:AV468),"")</f>
        <v/>
      </c>
      <c r="AX468" t="str">
        <f>IF(AV468=1,SUMIFS($R$5:$R$504,$D$5:$D$504,D468,$AU$5:$AU$504,1),"")</f>
        <v/>
      </c>
    </row>
    <row r="469">
      <c r="A469" s="20" t="str">
        <f>IF(AG469=1,ROW()-4,"")</f>
        <v/>
      </c>
      <c r="B469" s="21" t="n"/>
      <c r="C469" s="22" t="n"/>
      <c r="D469" s="21" t="n"/>
      <c r="E469" s="22" t="n"/>
      <c r="F469" s="23" t="n"/>
      <c r="G469" s="23" t="n"/>
      <c r="H469" s="23" t="n"/>
      <c r="I469" s="24" t="n"/>
      <c r="J469" s="25" t="n"/>
      <c r="K469" s="25" t="n"/>
      <c r="L469" s="25" t="n"/>
      <c r="M469" s="25" t="n"/>
      <c r="N469" s="26" t="n"/>
      <c r="O469" s="26" t="n"/>
      <c r="P469" s="27" t="str">
        <f>IF(OR(J469="",K469="",I469="",AF469=0,AD469=""),"",(K469-J469)*AF469*I469*AD469*AE469)</f>
        <v/>
      </c>
      <c r="Q469" s="26" t="n"/>
      <c r="R469" s="28" t="str">
        <f>IF(Q469&lt;&gt;"",Q469,IF(P469="","",P469-N(N469)+N(O469)))</f>
        <v/>
      </c>
      <c r="S469" s="27" t="str">
        <f>IF(OR(L469="",J469="",I469="",AD469=""),"",ABS(J469-L469)*I469*AD469*AE469)</f>
        <v/>
      </c>
      <c r="T469" s="29" t="str">
        <f>IF(OR(R469="",S469="",S469=0),"",R469/S469)</f>
        <v/>
      </c>
      <c r="U469" s="20" t="str">
        <f>IF(R469="","",IF(R469&gt;0,"Ganadora",IF(R469&lt;0,"Perdedora","BE")))</f>
        <v/>
      </c>
      <c r="V469" s="23" t="n"/>
      <c r="W469" s="23" t="n"/>
      <c r="X469" s="23" t="n"/>
      <c r="Y469" s="23" t="n"/>
      <c r="Z469" s="23" t="n"/>
      <c r="AA469" s="23" t="n"/>
      <c r="AB469" s="30" t="n"/>
      <c r="AC469" s="1" t="n"/>
      <c r="AD469" s="1" t="str">
        <f>IF(G469="","",IFERROR(INDEX('Listas'!$N$6:$N$35,MATCH(G469,'Listas'!$M$6:$M$35,0)),""))</f>
        <v/>
      </c>
      <c r="AE469">
        <f>IF(G469="",1,IFERROR(INDEX('Listas'!$P$6:$P$35,MATCH(G469,'Listas'!$M$6:$M$35,0)),1))</f>
        <v>1</v>
      </c>
      <c r="AF469">
        <f>IF(H469="Compra",1,IF(H469="Venta",-1,0))</f>
        <v>0</v>
      </c>
      <c r="AG469">
        <f>IF(AND(D469&lt;&gt;"",ISNUMBER(R469)),1,0)</f>
        <v>0</v>
      </c>
      <c r="AH469">
        <f>IF(AG469=0,0,IF(OR('Panel'!$D$5="Todas las cuentas",'Panel'!$D$5="",F469='Panel'!$D$5),1,0))</f>
        <v>0</v>
      </c>
      <c r="AI469">
        <f>IF(AH469=0,0,IF(AND(OR('Panel'!$G$5="",D469&gt;='Panel'!$G$5),OR('Panel'!$J$5="",D469&lt;='Panel'!$J$5)),1,0))</f>
        <v>0</v>
      </c>
      <c r="AJ469">
        <f>IF(AI469=1,R469,0)</f>
        <v>0</v>
      </c>
      <c r="AK469" t="str">
        <f>IF(AI469=1,'Panel'!$AB$4+SUM($AJ$5:AJ469),"")</f>
        <v/>
      </c>
      <c r="AL469">
        <f>IF(AI469=0,N(AL468),IF(R469&lt;0,N(AL468)+1,0))</f>
        <v>1</v>
      </c>
      <c r="AM469">
        <f>IF(AI469=0,N(AM468),IF(R469&gt;0,N(AM468)+1,0))</f>
        <v>0</v>
      </c>
      <c r="AN469">
        <f>IF(AI469=1,MAX('Panel'!$AB$4,N(AN468),AK469),N(AN468))</f>
        <v>21371.061500000033</v>
      </c>
      <c r="AO469">
        <f>IF(AI469=1,AN469-AK469,0)</f>
        <v>0</v>
      </c>
      <c r="AP469">
        <f>IF(AND(AI469=1,AN469&gt;0),AO469/AN469,0)</f>
        <v>0</v>
      </c>
      <c r="AQ469" t="str">
        <f>IF(AI469=1,SUM($AI$5:AI469),"")</f>
        <v/>
      </c>
      <c r="AR469" t="str">
        <f>IF(AI469=1,IF(COUNTIFS($D$5:D469,D469,$AI$5:AI469,1)=1,SUMIFS($AJ$5:$AJ$504,$D$5:$D$504,D469),""),"")</f>
        <v/>
      </c>
      <c r="AS469" t="str">
        <f>IF(AG469=1,WEEKDAY(D469,2),"")</f>
        <v/>
      </c>
      <c r="AT469" s="31" t="str">
        <f>IF(AG469=1,DATE(YEAR(D469),MONTH(D469),1),"")</f>
        <v/>
      </c>
      <c r="AU469">
        <f>IF(AG469=0,0,IF(AND(OR('Prop challenge'!$D$7="",F469='Prop challenge'!$D$7),OR('Prop challenge'!$D$9="",D469&gt;='Prop challenge'!$D$9)),1,0))</f>
        <v>0</v>
      </c>
      <c r="AV469">
        <f>IF(AU469=1,IF(COUNTIFS($D$5:D469,D469,$AU$5:AU469,1)=1,1,0),0)</f>
        <v>0</v>
      </c>
      <c r="AW469" t="str">
        <f>IF(AV469=1,SUM($AV$5:AV469),"")</f>
        <v/>
      </c>
      <c r="AX469" t="str">
        <f>IF(AV469=1,SUMIFS($R$5:$R$504,$D$5:$D$504,D469,$AU$5:$AU$504,1),"")</f>
        <v/>
      </c>
    </row>
    <row r="470">
      <c r="A470" s="20" t="str">
        <f>IF(AG470=1,ROW()-4,"")</f>
        <v/>
      </c>
      <c r="B470" s="21" t="n"/>
      <c r="C470" s="22" t="n"/>
      <c r="D470" s="21" t="n"/>
      <c r="E470" s="22" t="n"/>
      <c r="F470" s="23" t="n"/>
      <c r="G470" s="23" t="n"/>
      <c r="H470" s="23" t="n"/>
      <c r="I470" s="24" t="n"/>
      <c r="J470" s="25" t="n"/>
      <c r="K470" s="25" t="n"/>
      <c r="L470" s="25" t="n"/>
      <c r="M470" s="25" t="n"/>
      <c r="N470" s="26" t="n"/>
      <c r="O470" s="26" t="n"/>
      <c r="P470" s="27" t="str">
        <f>IF(OR(J470="",K470="",I470="",AF470=0,AD470=""),"",(K470-J470)*AF470*I470*AD470*AE470)</f>
        <v/>
      </c>
      <c r="Q470" s="26" t="n"/>
      <c r="R470" s="28" t="str">
        <f>IF(Q470&lt;&gt;"",Q470,IF(P470="","",P470-N(N470)+N(O470)))</f>
        <v/>
      </c>
      <c r="S470" s="27" t="str">
        <f>IF(OR(L470="",J470="",I470="",AD470=""),"",ABS(J470-L470)*I470*AD470*AE470)</f>
        <v/>
      </c>
      <c r="T470" s="29" t="str">
        <f>IF(OR(R470="",S470="",S470=0),"",R470/S470)</f>
        <v/>
      </c>
      <c r="U470" s="20" t="str">
        <f>IF(R470="","",IF(R470&gt;0,"Ganadora",IF(R470&lt;0,"Perdedora","BE")))</f>
        <v/>
      </c>
      <c r="V470" s="23" t="n"/>
      <c r="W470" s="23" t="n"/>
      <c r="X470" s="23" t="n"/>
      <c r="Y470" s="23" t="n"/>
      <c r="Z470" s="23" t="n"/>
      <c r="AA470" s="23" t="n"/>
      <c r="AB470" s="30" t="n"/>
      <c r="AC470" s="1" t="n"/>
      <c r="AD470" s="1" t="str">
        <f>IF(G470="","",IFERROR(INDEX('Listas'!$N$6:$N$35,MATCH(G470,'Listas'!$M$6:$M$35,0)),""))</f>
        <v/>
      </c>
      <c r="AE470">
        <f>IF(G470="",1,IFERROR(INDEX('Listas'!$P$6:$P$35,MATCH(G470,'Listas'!$M$6:$M$35,0)),1))</f>
        <v>1</v>
      </c>
      <c r="AF470">
        <f>IF(H470="Compra",1,IF(H470="Venta",-1,0))</f>
        <v>0</v>
      </c>
      <c r="AG470">
        <f>IF(AND(D470&lt;&gt;"",ISNUMBER(R470)),1,0)</f>
        <v>0</v>
      </c>
      <c r="AH470">
        <f>IF(AG470=0,0,IF(OR('Panel'!$D$5="Todas las cuentas",'Panel'!$D$5="",F470='Panel'!$D$5),1,0))</f>
        <v>0</v>
      </c>
      <c r="AI470">
        <f>IF(AH470=0,0,IF(AND(OR('Panel'!$G$5="",D470&gt;='Panel'!$G$5),OR('Panel'!$J$5="",D470&lt;='Panel'!$J$5)),1,0))</f>
        <v>0</v>
      </c>
      <c r="AJ470">
        <f>IF(AI470=1,R470,0)</f>
        <v>0</v>
      </c>
      <c r="AK470" t="str">
        <f>IF(AI470=1,'Panel'!$AB$4+SUM($AJ$5:AJ470),"")</f>
        <v/>
      </c>
      <c r="AL470">
        <f>IF(AI470=0,N(AL469),IF(R470&lt;0,N(AL469)+1,0))</f>
        <v>1</v>
      </c>
      <c r="AM470">
        <f>IF(AI470=0,N(AM469),IF(R470&gt;0,N(AM469)+1,0))</f>
        <v>0</v>
      </c>
      <c r="AN470">
        <f>IF(AI470=1,MAX('Panel'!$AB$4,N(AN469),AK470),N(AN469))</f>
        <v>21371.061500000033</v>
      </c>
      <c r="AO470">
        <f>IF(AI470=1,AN470-AK470,0)</f>
        <v>0</v>
      </c>
      <c r="AP470">
        <f>IF(AND(AI470=1,AN470&gt;0),AO470/AN470,0)</f>
        <v>0</v>
      </c>
      <c r="AQ470" t="str">
        <f>IF(AI470=1,SUM($AI$5:AI470),"")</f>
        <v/>
      </c>
      <c r="AR470" t="str">
        <f>IF(AI470=1,IF(COUNTIFS($D$5:D470,D470,$AI$5:AI470,1)=1,SUMIFS($AJ$5:$AJ$504,$D$5:$D$504,D470),""),"")</f>
        <v/>
      </c>
      <c r="AS470" t="str">
        <f>IF(AG470=1,WEEKDAY(D470,2),"")</f>
        <v/>
      </c>
      <c r="AT470" s="31" t="str">
        <f>IF(AG470=1,DATE(YEAR(D470),MONTH(D470),1),"")</f>
        <v/>
      </c>
      <c r="AU470">
        <f>IF(AG470=0,0,IF(AND(OR('Prop challenge'!$D$7="",F470='Prop challenge'!$D$7),OR('Prop challenge'!$D$9="",D470&gt;='Prop challenge'!$D$9)),1,0))</f>
        <v>0</v>
      </c>
      <c r="AV470">
        <f>IF(AU470=1,IF(COUNTIFS($D$5:D470,D470,$AU$5:AU470,1)=1,1,0),0)</f>
        <v>0</v>
      </c>
      <c r="AW470" t="str">
        <f>IF(AV470=1,SUM($AV$5:AV470),"")</f>
        <v/>
      </c>
      <c r="AX470" t="str">
        <f>IF(AV470=1,SUMIFS($R$5:$R$504,$D$5:$D$504,D470,$AU$5:$AU$504,1),"")</f>
        <v/>
      </c>
    </row>
    <row r="471">
      <c r="A471" s="20" t="str">
        <f>IF(AG471=1,ROW()-4,"")</f>
        <v/>
      </c>
      <c r="B471" s="21" t="n"/>
      <c r="C471" s="22" t="n"/>
      <c r="D471" s="21" t="n"/>
      <c r="E471" s="22" t="n"/>
      <c r="F471" s="23" t="n"/>
      <c r="G471" s="23" t="n"/>
      <c r="H471" s="23" t="n"/>
      <c r="I471" s="24" t="n"/>
      <c r="J471" s="25" t="n"/>
      <c r="K471" s="25" t="n"/>
      <c r="L471" s="25" t="n"/>
      <c r="M471" s="25" t="n"/>
      <c r="N471" s="26" t="n"/>
      <c r="O471" s="26" t="n"/>
      <c r="P471" s="27" t="str">
        <f>IF(OR(J471="",K471="",I471="",AF471=0,AD471=""),"",(K471-J471)*AF471*I471*AD471*AE471)</f>
        <v/>
      </c>
      <c r="Q471" s="26" t="n"/>
      <c r="R471" s="28" t="str">
        <f>IF(Q471&lt;&gt;"",Q471,IF(P471="","",P471-N(N471)+N(O471)))</f>
        <v/>
      </c>
      <c r="S471" s="27" t="str">
        <f>IF(OR(L471="",J471="",I471="",AD471=""),"",ABS(J471-L471)*I471*AD471*AE471)</f>
        <v/>
      </c>
      <c r="T471" s="29" t="str">
        <f>IF(OR(R471="",S471="",S471=0),"",R471/S471)</f>
        <v/>
      </c>
      <c r="U471" s="20" t="str">
        <f>IF(R471="","",IF(R471&gt;0,"Ganadora",IF(R471&lt;0,"Perdedora","BE")))</f>
        <v/>
      </c>
      <c r="V471" s="23" t="n"/>
      <c r="W471" s="23" t="n"/>
      <c r="X471" s="23" t="n"/>
      <c r="Y471" s="23" t="n"/>
      <c r="Z471" s="23" t="n"/>
      <c r="AA471" s="23" t="n"/>
      <c r="AB471" s="30" t="n"/>
      <c r="AC471" s="1" t="n"/>
      <c r="AD471" s="1" t="str">
        <f>IF(G471="","",IFERROR(INDEX('Listas'!$N$6:$N$35,MATCH(G471,'Listas'!$M$6:$M$35,0)),""))</f>
        <v/>
      </c>
      <c r="AE471">
        <f>IF(G471="",1,IFERROR(INDEX('Listas'!$P$6:$P$35,MATCH(G471,'Listas'!$M$6:$M$35,0)),1))</f>
        <v>1</v>
      </c>
      <c r="AF471">
        <f>IF(H471="Compra",1,IF(H471="Venta",-1,0))</f>
        <v>0</v>
      </c>
      <c r="AG471">
        <f>IF(AND(D471&lt;&gt;"",ISNUMBER(R471)),1,0)</f>
        <v>0</v>
      </c>
      <c r="AH471">
        <f>IF(AG471=0,0,IF(OR('Panel'!$D$5="Todas las cuentas",'Panel'!$D$5="",F471='Panel'!$D$5),1,0))</f>
        <v>0</v>
      </c>
      <c r="AI471">
        <f>IF(AH471=0,0,IF(AND(OR('Panel'!$G$5="",D471&gt;='Panel'!$G$5),OR('Panel'!$J$5="",D471&lt;='Panel'!$J$5)),1,0))</f>
        <v>0</v>
      </c>
      <c r="AJ471">
        <f>IF(AI471=1,R471,0)</f>
        <v>0</v>
      </c>
      <c r="AK471" t="str">
        <f>IF(AI471=1,'Panel'!$AB$4+SUM($AJ$5:AJ471),"")</f>
        <v/>
      </c>
      <c r="AL471">
        <f>IF(AI471=0,N(AL470),IF(R471&lt;0,N(AL470)+1,0))</f>
        <v>1</v>
      </c>
      <c r="AM471">
        <f>IF(AI471=0,N(AM470),IF(R471&gt;0,N(AM470)+1,0))</f>
        <v>0</v>
      </c>
      <c r="AN471">
        <f>IF(AI471=1,MAX('Panel'!$AB$4,N(AN470),AK471),N(AN470))</f>
        <v>21371.061500000033</v>
      </c>
      <c r="AO471">
        <f>IF(AI471=1,AN471-AK471,0)</f>
        <v>0</v>
      </c>
      <c r="AP471">
        <f>IF(AND(AI471=1,AN471&gt;0),AO471/AN471,0)</f>
        <v>0</v>
      </c>
      <c r="AQ471" t="str">
        <f>IF(AI471=1,SUM($AI$5:AI471),"")</f>
        <v/>
      </c>
      <c r="AR471" t="str">
        <f>IF(AI471=1,IF(COUNTIFS($D$5:D471,D471,$AI$5:AI471,1)=1,SUMIFS($AJ$5:$AJ$504,$D$5:$D$504,D471),""),"")</f>
        <v/>
      </c>
      <c r="AS471" t="str">
        <f>IF(AG471=1,WEEKDAY(D471,2),"")</f>
        <v/>
      </c>
      <c r="AT471" s="31" t="str">
        <f>IF(AG471=1,DATE(YEAR(D471),MONTH(D471),1),"")</f>
        <v/>
      </c>
      <c r="AU471">
        <f>IF(AG471=0,0,IF(AND(OR('Prop challenge'!$D$7="",F471='Prop challenge'!$D$7),OR('Prop challenge'!$D$9="",D471&gt;='Prop challenge'!$D$9)),1,0))</f>
        <v>0</v>
      </c>
      <c r="AV471">
        <f>IF(AU471=1,IF(COUNTIFS($D$5:D471,D471,$AU$5:AU471,1)=1,1,0),0)</f>
        <v>0</v>
      </c>
      <c r="AW471" t="str">
        <f>IF(AV471=1,SUM($AV$5:AV471),"")</f>
        <v/>
      </c>
      <c r="AX471" t="str">
        <f>IF(AV471=1,SUMIFS($R$5:$R$504,$D$5:$D$504,D471,$AU$5:$AU$504,1),"")</f>
        <v/>
      </c>
    </row>
    <row r="472">
      <c r="A472" s="20" t="str">
        <f>IF(AG472=1,ROW()-4,"")</f>
        <v/>
      </c>
      <c r="B472" s="21" t="n"/>
      <c r="C472" s="22" t="n"/>
      <c r="D472" s="21" t="n"/>
      <c r="E472" s="22" t="n"/>
      <c r="F472" s="23" t="n"/>
      <c r="G472" s="23" t="n"/>
      <c r="H472" s="23" t="n"/>
      <c r="I472" s="24" t="n"/>
      <c r="J472" s="25" t="n"/>
      <c r="K472" s="25" t="n"/>
      <c r="L472" s="25" t="n"/>
      <c r="M472" s="25" t="n"/>
      <c r="N472" s="26" t="n"/>
      <c r="O472" s="26" t="n"/>
      <c r="P472" s="27" t="str">
        <f>IF(OR(J472="",K472="",I472="",AF472=0,AD472=""),"",(K472-J472)*AF472*I472*AD472*AE472)</f>
        <v/>
      </c>
      <c r="Q472" s="26" t="n"/>
      <c r="R472" s="28" t="str">
        <f>IF(Q472&lt;&gt;"",Q472,IF(P472="","",P472-N(N472)+N(O472)))</f>
        <v/>
      </c>
      <c r="S472" s="27" t="str">
        <f>IF(OR(L472="",J472="",I472="",AD472=""),"",ABS(J472-L472)*I472*AD472*AE472)</f>
        <v/>
      </c>
      <c r="T472" s="29" t="str">
        <f>IF(OR(R472="",S472="",S472=0),"",R472/S472)</f>
        <v/>
      </c>
      <c r="U472" s="20" t="str">
        <f>IF(R472="","",IF(R472&gt;0,"Ganadora",IF(R472&lt;0,"Perdedora","BE")))</f>
        <v/>
      </c>
      <c r="V472" s="23" t="n"/>
      <c r="W472" s="23" t="n"/>
      <c r="X472" s="23" t="n"/>
      <c r="Y472" s="23" t="n"/>
      <c r="Z472" s="23" t="n"/>
      <c r="AA472" s="23" t="n"/>
      <c r="AB472" s="30" t="n"/>
      <c r="AC472" s="1" t="n"/>
      <c r="AD472" s="1" t="str">
        <f>IF(G472="","",IFERROR(INDEX('Listas'!$N$6:$N$35,MATCH(G472,'Listas'!$M$6:$M$35,0)),""))</f>
        <v/>
      </c>
      <c r="AE472">
        <f>IF(G472="",1,IFERROR(INDEX('Listas'!$P$6:$P$35,MATCH(G472,'Listas'!$M$6:$M$35,0)),1))</f>
        <v>1</v>
      </c>
      <c r="AF472">
        <f>IF(H472="Compra",1,IF(H472="Venta",-1,0))</f>
        <v>0</v>
      </c>
      <c r="AG472">
        <f>IF(AND(D472&lt;&gt;"",ISNUMBER(R472)),1,0)</f>
        <v>0</v>
      </c>
      <c r="AH472">
        <f>IF(AG472=0,0,IF(OR('Panel'!$D$5="Todas las cuentas",'Panel'!$D$5="",F472='Panel'!$D$5),1,0))</f>
        <v>0</v>
      </c>
      <c r="AI472">
        <f>IF(AH472=0,0,IF(AND(OR('Panel'!$G$5="",D472&gt;='Panel'!$G$5),OR('Panel'!$J$5="",D472&lt;='Panel'!$J$5)),1,0))</f>
        <v>0</v>
      </c>
      <c r="AJ472">
        <f>IF(AI472=1,R472,0)</f>
        <v>0</v>
      </c>
      <c r="AK472" t="str">
        <f>IF(AI472=1,'Panel'!$AB$4+SUM($AJ$5:AJ472),"")</f>
        <v/>
      </c>
      <c r="AL472">
        <f>IF(AI472=0,N(AL471),IF(R472&lt;0,N(AL471)+1,0))</f>
        <v>1</v>
      </c>
      <c r="AM472">
        <f>IF(AI472=0,N(AM471),IF(R472&gt;0,N(AM471)+1,0))</f>
        <v>0</v>
      </c>
      <c r="AN472">
        <f>IF(AI472=1,MAX('Panel'!$AB$4,N(AN471),AK472),N(AN471))</f>
        <v>21371.061500000033</v>
      </c>
      <c r="AO472">
        <f>IF(AI472=1,AN472-AK472,0)</f>
        <v>0</v>
      </c>
      <c r="AP472">
        <f>IF(AND(AI472=1,AN472&gt;0),AO472/AN472,0)</f>
        <v>0</v>
      </c>
      <c r="AQ472" t="str">
        <f>IF(AI472=1,SUM($AI$5:AI472),"")</f>
        <v/>
      </c>
      <c r="AR472" t="str">
        <f>IF(AI472=1,IF(COUNTIFS($D$5:D472,D472,$AI$5:AI472,1)=1,SUMIFS($AJ$5:$AJ$504,$D$5:$D$504,D472),""),"")</f>
        <v/>
      </c>
      <c r="AS472" t="str">
        <f>IF(AG472=1,WEEKDAY(D472,2),"")</f>
        <v/>
      </c>
      <c r="AT472" s="31" t="str">
        <f>IF(AG472=1,DATE(YEAR(D472),MONTH(D472),1),"")</f>
        <v/>
      </c>
      <c r="AU472">
        <f>IF(AG472=0,0,IF(AND(OR('Prop challenge'!$D$7="",F472='Prop challenge'!$D$7),OR('Prop challenge'!$D$9="",D472&gt;='Prop challenge'!$D$9)),1,0))</f>
        <v>0</v>
      </c>
      <c r="AV472">
        <f>IF(AU472=1,IF(COUNTIFS($D$5:D472,D472,$AU$5:AU472,1)=1,1,0),0)</f>
        <v>0</v>
      </c>
      <c r="AW472" t="str">
        <f>IF(AV472=1,SUM($AV$5:AV472),"")</f>
        <v/>
      </c>
      <c r="AX472" t="str">
        <f>IF(AV472=1,SUMIFS($R$5:$R$504,$D$5:$D$504,D472,$AU$5:$AU$504,1),"")</f>
        <v/>
      </c>
    </row>
    <row r="473">
      <c r="A473" s="20" t="str">
        <f>IF(AG473=1,ROW()-4,"")</f>
        <v/>
      </c>
      <c r="B473" s="21" t="n"/>
      <c r="C473" s="22" t="n"/>
      <c r="D473" s="21" t="n"/>
      <c r="E473" s="22" t="n"/>
      <c r="F473" s="23" t="n"/>
      <c r="G473" s="23" t="n"/>
      <c r="H473" s="23" t="n"/>
      <c r="I473" s="24" t="n"/>
      <c r="J473" s="25" t="n"/>
      <c r="K473" s="25" t="n"/>
      <c r="L473" s="25" t="n"/>
      <c r="M473" s="25" t="n"/>
      <c r="N473" s="26" t="n"/>
      <c r="O473" s="26" t="n"/>
      <c r="P473" s="27" t="str">
        <f>IF(OR(J473="",K473="",I473="",AF473=0,AD473=""),"",(K473-J473)*AF473*I473*AD473*AE473)</f>
        <v/>
      </c>
      <c r="Q473" s="26" t="n"/>
      <c r="R473" s="28" t="str">
        <f>IF(Q473&lt;&gt;"",Q473,IF(P473="","",P473-N(N473)+N(O473)))</f>
        <v/>
      </c>
      <c r="S473" s="27" t="str">
        <f>IF(OR(L473="",J473="",I473="",AD473=""),"",ABS(J473-L473)*I473*AD473*AE473)</f>
        <v/>
      </c>
      <c r="T473" s="29" t="str">
        <f>IF(OR(R473="",S473="",S473=0),"",R473/S473)</f>
        <v/>
      </c>
      <c r="U473" s="20" t="str">
        <f>IF(R473="","",IF(R473&gt;0,"Ganadora",IF(R473&lt;0,"Perdedora","BE")))</f>
        <v/>
      </c>
      <c r="V473" s="23" t="n"/>
      <c r="W473" s="23" t="n"/>
      <c r="X473" s="23" t="n"/>
      <c r="Y473" s="23" t="n"/>
      <c r="Z473" s="23" t="n"/>
      <c r="AA473" s="23" t="n"/>
      <c r="AB473" s="30" t="n"/>
      <c r="AC473" s="1" t="n"/>
      <c r="AD473" s="1" t="str">
        <f>IF(G473="","",IFERROR(INDEX('Listas'!$N$6:$N$35,MATCH(G473,'Listas'!$M$6:$M$35,0)),""))</f>
        <v/>
      </c>
      <c r="AE473">
        <f>IF(G473="",1,IFERROR(INDEX('Listas'!$P$6:$P$35,MATCH(G473,'Listas'!$M$6:$M$35,0)),1))</f>
        <v>1</v>
      </c>
      <c r="AF473">
        <f>IF(H473="Compra",1,IF(H473="Venta",-1,0))</f>
        <v>0</v>
      </c>
      <c r="AG473">
        <f>IF(AND(D473&lt;&gt;"",ISNUMBER(R473)),1,0)</f>
        <v>0</v>
      </c>
      <c r="AH473">
        <f>IF(AG473=0,0,IF(OR('Panel'!$D$5="Todas las cuentas",'Panel'!$D$5="",F473='Panel'!$D$5),1,0))</f>
        <v>0</v>
      </c>
      <c r="AI473">
        <f>IF(AH473=0,0,IF(AND(OR('Panel'!$G$5="",D473&gt;='Panel'!$G$5),OR('Panel'!$J$5="",D473&lt;='Panel'!$J$5)),1,0))</f>
        <v>0</v>
      </c>
      <c r="AJ473">
        <f>IF(AI473=1,R473,0)</f>
        <v>0</v>
      </c>
      <c r="AK473" t="str">
        <f>IF(AI473=1,'Panel'!$AB$4+SUM($AJ$5:AJ473),"")</f>
        <v/>
      </c>
      <c r="AL473">
        <f>IF(AI473=0,N(AL472),IF(R473&lt;0,N(AL472)+1,0))</f>
        <v>1</v>
      </c>
      <c r="AM473">
        <f>IF(AI473=0,N(AM472),IF(R473&gt;0,N(AM472)+1,0))</f>
        <v>0</v>
      </c>
      <c r="AN473">
        <f>IF(AI473=1,MAX('Panel'!$AB$4,N(AN472),AK473),N(AN472))</f>
        <v>21371.061500000033</v>
      </c>
      <c r="AO473">
        <f>IF(AI473=1,AN473-AK473,0)</f>
        <v>0</v>
      </c>
      <c r="AP473">
        <f>IF(AND(AI473=1,AN473&gt;0),AO473/AN473,0)</f>
        <v>0</v>
      </c>
      <c r="AQ473" t="str">
        <f>IF(AI473=1,SUM($AI$5:AI473),"")</f>
        <v/>
      </c>
      <c r="AR473" t="str">
        <f>IF(AI473=1,IF(COUNTIFS($D$5:D473,D473,$AI$5:AI473,1)=1,SUMIFS($AJ$5:$AJ$504,$D$5:$D$504,D473),""),"")</f>
        <v/>
      </c>
      <c r="AS473" t="str">
        <f>IF(AG473=1,WEEKDAY(D473,2),"")</f>
        <v/>
      </c>
      <c r="AT473" s="31" t="str">
        <f>IF(AG473=1,DATE(YEAR(D473),MONTH(D473),1),"")</f>
        <v/>
      </c>
      <c r="AU473">
        <f>IF(AG473=0,0,IF(AND(OR('Prop challenge'!$D$7="",F473='Prop challenge'!$D$7),OR('Prop challenge'!$D$9="",D473&gt;='Prop challenge'!$D$9)),1,0))</f>
        <v>0</v>
      </c>
      <c r="AV473">
        <f>IF(AU473=1,IF(COUNTIFS($D$5:D473,D473,$AU$5:AU473,1)=1,1,0),0)</f>
        <v>0</v>
      </c>
      <c r="AW473" t="str">
        <f>IF(AV473=1,SUM($AV$5:AV473),"")</f>
        <v/>
      </c>
      <c r="AX473" t="str">
        <f>IF(AV473=1,SUMIFS($R$5:$R$504,$D$5:$D$504,D473,$AU$5:$AU$504,1),"")</f>
        <v/>
      </c>
    </row>
    <row r="474">
      <c r="A474" s="20" t="str">
        <f>IF(AG474=1,ROW()-4,"")</f>
        <v/>
      </c>
      <c r="B474" s="21" t="n"/>
      <c r="C474" s="22" t="n"/>
      <c r="D474" s="21" t="n"/>
      <c r="E474" s="22" t="n"/>
      <c r="F474" s="23" t="n"/>
      <c r="G474" s="23" t="n"/>
      <c r="H474" s="23" t="n"/>
      <c r="I474" s="24" t="n"/>
      <c r="J474" s="25" t="n"/>
      <c r="K474" s="25" t="n"/>
      <c r="L474" s="25" t="n"/>
      <c r="M474" s="25" t="n"/>
      <c r="N474" s="26" t="n"/>
      <c r="O474" s="26" t="n"/>
      <c r="P474" s="27" t="str">
        <f>IF(OR(J474="",K474="",I474="",AF474=0,AD474=""),"",(K474-J474)*AF474*I474*AD474*AE474)</f>
        <v/>
      </c>
      <c r="Q474" s="26" t="n"/>
      <c r="R474" s="28" t="str">
        <f>IF(Q474&lt;&gt;"",Q474,IF(P474="","",P474-N(N474)+N(O474)))</f>
        <v/>
      </c>
      <c r="S474" s="27" t="str">
        <f>IF(OR(L474="",J474="",I474="",AD474=""),"",ABS(J474-L474)*I474*AD474*AE474)</f>
        <v/>
      </c>
      <c r="T474" s="29" t="str">
        <f>IF(OR(R474="",S474="",S474=0),"",R474/S474)</f>
        <v/>
      </c>
      <c r="U474" s="20" t="str">
        <f>IF(R474="","",IF(R474&gt;0,"Ganadora",IF(R474&lt;0,"Perdedora","BE")))</f>
        <v/>
      </c>
      <c r="V474" s="23" t="n"/>
      <c r="W474" s="23" t="n"/>
      <c r="X474" s="23" t="n"/>
      <c r="Y474" s="23" t="n"/>
      <c r="Z474" s="23" t="n"/>
      <c r="AA474" s="23" t="n"/>
      <c r="AB474" s="30" t="n"/>
      <c r="AC474" s="1" t="n"/>
      <c r="AD474" s="1" t="str">
        <f>IF(G474="","",IFERROR(INDEX('Listas'!$N$6:$N$35,MATCH(G474,'Listas'!$M$6:$M$35,0)),""))</f>
        <v/>
      </c>
      <c r="AE474">
        <f>IF(G474="",1,IFERROR(INDEX('Listas'!$P$6:$P$35,MATCH(G474,'Listas'!$M$6:$M$35,0)),1))</f>
        <v>1</v>
      </c>
      <c r="AF474">
        <f>IF(H474="Compra",1,IF(H474="Venta",-1,0))</f>
        <v>0</v>
      </c>
      <c r="AG474">
        <f>IF(AND(D474&lt;&gt;"",ISNUMBER(R474)),1,0)</f>
        <v>0</v>
      </c>
      <c r="AH474">
        <f>IF(AG474=0,0,IF(OR('Panel'!$D$5="Todas las cuentas",'Panel'!$D$5="",F474='Panel'!$D$5),1,0))</f>
        <v>0</v>
      </c>
      <c r="AI474">
        <f>IF(AH474=0,0,IF(AND(OR('Panel'!$G$5="",D474&gt;='Panel'!$G$5),OR('Panel'!$J$5="",D474&lt;='Panel'!$J$5)),1,0))</f>
        <v>0</v>
      </c>
      <c r="AJ474">
        <f>IF(AI474=1,R474,0)</f>
        <v>0</v>
      </c>
      <c r="AK474" t="str">
        <f>IF(AI474=1,'Panel'!$AB$4+SUM($AJ$5:AJ474),"")</f>
        <v/>
      </c>
      <c r="AL474">
        <f>IF(AI474=0,N(AL473),IF(R474&lt;0,N(AL473)+1,0))</f>
        <v>1</v>
      </c>
      <c r="AM474">
        <f>IF(AI474=0,N(AM473),IF(R474&gt;0,N(AM473)+1,0))</f>
        <v>0</v>
      </c>
      <c r="AN474">
        <f>IF(AI474=1,MAX('Panel'!$AB$4,N(AN473),AK474),N(AN473))</f>
        <v>21371.061500000033</v>
      </c>
      <c r="AO474">
        <f>IF(AI474=1,AN474-AK474,0)</f>
        <v>0</v>
      </c>
      <c r="AP474">
        <f>IF(AND(AI474=1,AN474&gt;0),AO474/AN474,0)</f>
        <v>0</v>
      </c>
      <c r="AQ474" t="str">
        <f>IF(AI474=1,SUM($AI$5:AI474),"")</f>
        <v/>
      </c>
      <c r="AR474" t="str">
        <f>IF(AI474=1,IF(COUNTIFS($D$5:D474,D474,$AI$5:AI474,1)=1,SUMIFS($AJ$5:$AJ$504,$D$5:$D$504,D474),""),"")</f>
        <v/>
      </c>
      <c r="AS474" t="str">
        <f>IF(AG474=1,WEEKDAY(D474,2),"")</f>
        <v/>
      </c>
      <c r="AT474" s="31" t="str">
        <f>IF(AG474=1,DATE(YEAR(D474),MONTH(D474),1),"")</f>
        <v/>
      </c>
      <c r="AU474">
        <f>IF(AG474=0,0,IF(AND(OR('Prop challenge'!$D$7="",F474='Prop challenge'!$D$7),OR('Prop challenge'!$D$9="",D474&gt;='Prop challenge'!$D$9)),1,0))</f>
        <v>0</v>
      </c>
      <c r="AV474">
        <f>IF(AU474=1,IF(COUNTIFS($D$5:D474,D474,$AU$5:AU474,1)=1,1,0),0)</f>
        <v>0</v>
      </c>
      <c r="AW474" t="str">
        <f>IF(AV474=1,SUM($AV$5:AV474),"")</f>
        <v/>
      </c>
      <c r="AX474" t="str">
        <f>IF(AV474=1,SUMIFS($R$5:$R$504,$D$5:$D$504,D474,$AU$5:$AU$504,1),"")</f>
        <v/>
      </c>
    </row>
    <row r="475">
      <c r="A475" s="20" t="str">
        <f>IF(AG475=1,ROW()-4,"")</f>
        <v/>
      </c>
      <c r="B475" s="21" t="n"/>
      <c r="C475" s="22" t="n"/>
      <c r="D475" s="21" t="n"/>
      <c r="E475" s="22" t="n"/>
      <c r="F475" s="23" t="n"/>
      <c r="G475" s="23" t="n"/>
      <c r="H475" s="23" t="n"/>
      <c r="I475" s="24" t="n"/>
      <c r="J475" s="25" t="n"/>
      <c r="K475" s="25" t="n"/>
      <c r="L475" s="25" t="n"/>
      <c r="M475" s="25" t="n"/>
      <c r="N475" s="26" t="n"/>
      <c r="O475" s="26" t="n"/>
      <c r="P475" s="27" t="str">
        <f>IF(OR(J475="",K475="",I475="",AF475=0,AD475=""),"",(K475-J475)*AF475*I475*AD475*AE475)</f>
        <v/>
      </c>
      <c r="Q475" s="26" t="n"/>
      <c r="R475" s="28" t="str">
        <f>IF(Q475&lt;&gt;"",Q475,IF(P475="","",P475-N(N475)+N(O475)))</f>
        <v/>
      </c>
      <c r="S475" s="27" t="str">
        <f>IF(OR(L475="",J475="",I475="",AD475=""),"",ABS(J475-L475)*I475*AD475*AE475)</f>
        <v/>
      </c>
      <c r="T475" s="29" t="str">
        <f>IF(OR(R475="",S475="",S475=0),"",R475/S475)</f>
        <v/>
      </c>
      <c r="U475" s="20" t="str">
        <f>IF(R475="","",IF(R475&gt;0,"Ganadora",IF(R475&lt;0,"Perdedora","BE")))</f>
        <v/>
      </c>
      <c r="V475" s="23" t="n"/>
      <c r="W475" s="23" t="n"/>
      <c r="X475" s="23" t="n"/>
      <c r="Y475" s="23" t="n"/>
      <c r="Z475" s="23" t="n"/>
      <c r="AA475" s="23" t="n"/>
      <c r="AB475" s="30" t="n"/>
      <c r="AC475" s="1" t="n"/>
      <c r="AD475" s="1" t="str">
        <f>IF(G475="","",IFERROR(INDEX('Listas'!$N$6:$N$35,MATCH(G475,'Listas'!$M$6:$M$35,0)),""))</f>
        <v/>
      </c>
      <c r="AE475">
        <f>IF(G475="",1,IFERROR(INDEX('Listas'!$P$6:$P$35,MATCH(G475,'Listas'!$M$6:$M$35,0)),1))</f>
        <v>1</v>
      </c>
      <c r="AF475">
        <f>IF(H475="Compra",1,IF(H475="Venta",-1,0))</f>
        <v>0</v>
      </c>
      <c r="AG475">
        <f>IF(AND(D475&lt;&gt;"",ISNUMBER(R475)),1,0)</f>
        <v>0</v>
      </c>
      <c r="AH475">
        <f>IF(AG475=0,0,IF(OR('Panel'!$D$5="Todas las cuentas",'Panel'!$D$5="",F475='Panel'!$D$5),1,0))</f>
        <v>0</v>
      </c>
      <c r="AI475">
        <f>IF(AH475=0,0,IF(AND(OR('Panel'!$G$5="",D475&gt;='Panel'!$G$5),OR('Panel'!$J$5="",D475&lt;='Panel'!$J$5)),1,0))</f>
        <v>0</v>
      </c>
      <c r="AJ475">
        <f>IF(AI475=1,R475,0)</f>
        <v>0</v>
      </c>
      <c r="AK475" t="str">
        <f>IF(AI475=1,'Panel'!$AB$4+SUM($AJ$5:AJ475),"")</f>
        <v/>
      </c>
      <c r="AL475">
        <f>IF(AI475=0,N(AL474),IF(R475&lt;0,N(AL474)+1,0))</f>
        <v>1</v>
      </c>
      <c r="AM475">
        <f>IF(AI475=0,N(AM474),IF(R475&gt;0,N(AM474)+1,0))</f>
        <v>0</v>
      </c>
      <c r="AN475">
        <f>IF(AI475=1,MAX('Panel'!$AB$4,N(AN474),AK475),N(AN474))</f>
        <v>21371.061500000033</v>
      </c>
      <c r="AO475">
        <f>IF(AI475=1,AN475-AK475,0)</f>
        <v>0</v>
      </c>
      <c r="AP475">
        <f>IF(AND(AI475=1,AN475&gt;0),AO475/AN475,0)</f>
        <v>0</v>
      </c>
      <c r="AQ475" t="str">
        <f>IF(AI475=1,SUM($AI$5:AI475),"")</f>
        <v/>
      </c>
      <c r="AR475" t="str">
        <f>IF(AI475=1,IF(COUNTIFS($D$5:D475,D475,$AI$5:AI475,1)=1,SUMIFS($AJ$5:$AJ$504,$D$5:$D$504,D475),""),"")</f>
        <v/>
      </c>
      <c r="AS475" t="str">
        <f>IF(AG475=1,WEEKDAY(D475,2),"")</f>
        <v/>
      </c>
      <c r="AT475" s="31" t="str">
        <f>IF(AG475=1,DATE(YEAR(D475),MONTH(D475),1),"")</f>
        <v/>
      </c>
      <c r="AU475">
        <f>IF(AG475=0,0,IF(AND(OR('Prop challenge'!$D$7="",F475='Prop challenge'!$D$7),OR('Prop challenge'!$D$9="",D475&gt;='Prop challenge'!$D$9)),1,0))</f>
        <v>0</v>
      </c>
      <c r="AV475">
        <f>IF(AU475=1,IF(COUNTIFS($D$5:D475,D475,$AU$5:AU475,1)=1,1,0),0)</f>
        <v>0</v>
      </c>
      <c r="AW475" t="str">
        <f>IF(AV475=1,SUM($AV$5:AV475),"")</f>
        <v/>
      </c>
      <c r="AX475" t="str">
        <f>IF(AV475=1,SUMIFS($R$5:$R$504,$D$5:$D$504,D475,$AU$5:$AU$504,1),"")</f>
        <v/>
      </c>
    </row>
    <row r="476">
      <c r="A476" s="20" t="str">
        <f>IF(AG476=1,ROW()-4,"")</f>
        <v/>
      </c>
      <c r="B476" s="21" t="n"/>
      <c r="C476" s="22" t="n"/>
      <c r="D476" s="21" t="n"/>
      <c r="E476" s="22" t="n"/>
      <c r="F476" s="23" t="n"/>
      <c r="G476" s="23" t="n"/>
      <c r="H476" s="23" t="n"/>
      <c r="I476" s="24" t="n"/>
      <c r="J476" s="25" t="n"/>
      <c r="K476" s="25" t="n"/>
      <c r="L476" s="25" t="n"/>
      <c r="M476" s="25" t="n"/>
      <c r="N476" s="26" t="n"/>
      <c r="O476" s="26" t="n"/>
      <c r="P476" s="27" t="str">
        <f>IF(OR(J476="",K476="",I476="",AF476=0,AD476=""),"",(K476-J476)*AF476*I476*AD476*AE476)</f>
        <v/>
      </c>
      <c r="Q476" s="26" t="n"/>
      <c r="R476" s="28" t="str">
        <f>IF(Q476&lt;&gt;"",Q476,IF(P476="","",P476-N(N476)+N(O476)))</f>
        <v/>
      </c>
      <c r="S476" s="27" t="str">
        <f>IF(OR(L476="",J476="",I476="",AD476=""),"",ABS(J476-L476)*I476*AD476*AE476)</f>
        <v/>
      </c>
      <c r="T476" s="29" t="str">
        <f>IF(OR(R476="",S476="",S476=0),"",R476/S476)</f>
        <v/>
      </c>
      <c r="U476" s="20" t="str">
        <f>IF(R476="","",IF(R476&gt;0,"Ganadora",IF(R476&lt;0,"Perdedora","BE")))</f>
        <v/>
      </c>
      <c r="V476" s="23" t="n"/>
      <c r="W476" s="23" t="n"/>
      <c r="X476" s="23" t="n"/>
      <c r="Y476" s="23" t="n"/>
      <c r="Z476" s="23" t="n"/>
      <c r="AA476" s="23" t="n"/>
      <c r="AB476" s="30" t="n"/>
      <c r="AC476" s="1" t="n"/>
      <c r="AD476" s="1" t="str">
        <f>IF(G476="","",IFERROR(INDEX('Listas'!$N$6:$N$35,MATCH(G476,'Listas'!$M$6:$M$35,0)),""))</f>
        <v/>
      </c>
      <c r="AE476">
        <f>IF(G476="",1,IFERROR(INDEX('Listas'!$P$6:$P$35,MATCH(G476,'Listas'!$M$6:$M$35,0)),1))</f>
        <v>1</v>
      </c>
      <c r="AF476">
        <f>IF(H476="Compra",1,IF(H476="Venta",-1,0))</f>
        <v>0</v>
      </c>
      <c r="AG476">
        <f>IF(AND(D476&lt;&gt;"",ISNUMBER(R476)),1,0)</f>
        <v>0</v>
      </c>
      <c r="AH476">
        <f>IF(AG476=0,0,IF(OR('Panel'!$D$5="Todas las cuentas",'Panel'!$D$5="",F476='Panel'!$D$5),1,0))</f>
        <v>0</v>
      </c>
      <c r="AI476">
        <f>IF(AH476=0,0,IF(AND(OR('Panel'!$G$5="",D476&gt;='Panel'!$G$5),OR('Panel'!$J$5="",D476&lt;='Panel'!$J$5)),1,0))</f>
        <v>0</v>
      </c>
      <c r="AJ476">
        <f>IF(AI476=1,R476,0)</f>
        <v>0</v>
      </c>
      <c r="AK476" t="str">
        <f>IF(AI476=1,'Panel'!$AB$4+SUM($AJ$5:AJ476),"")</f>
        <v/>
      </c>
      <c r="AL476">
        <f>IF(AI476=0,N(AL475),IF(R476&lt;0,N(AL475)+1,0))</f>
        <v>1</v>
      </c>
      <c r="AM476">
        <f>IF(AI476=0,N(AM475),IF(R476&gt;0,N(AM475)+1,0))</f>
        <v>0</v>
      </c>
      <c r="AN476">
        <f>IF(AI476=1,MAX('Panel'!$AB$4,N(AN475),AK476),N(AN475))</f>
        <v>21371.061500000033</v>
      </c>
      <c r="AO476">
        <f>IF(AI476=1,AN476-AK476,0)</f>
        <v>0</v>
      </c>
      <c r="AP476">
        <f>IF(AND(AI476=1,AN476&gt;0),AO476/AN476,0)</f>
        <v>0</v>
      </c>
      <c r="AQ476" t="str">
        <f>IF(AI476=1,SUM($AI$5:AI476),"")</f>
        <v/>
      </c>
      <c r="AR476" t="str">
        <f>IF(AI476=1,IF(COUNTIFS($D$5:D476,D476,$AI$5:AI476,1)=1,SUMIFS($AJ$5:$AJ$504,$D$5:$D$504,D476),""),"")</f>
        <v/>
      </c>
      <c r="AS476" t="str">
        <f>IF(AG476=1,WEEKDAY(D476,2),"")</f>
        <v/>
      </c>
      <c r="AT476" s="31" t="str">
        <f>IF(AG476=1,DATE(YEAR(D476),MONTH(D476),1),"")</f>
        <v/>
      </c>
      <c r="AU476">
        <f>IF(AG476=0,0,IF(AND(OR('Prop challenge'!$D$7="",F476='Prop challenge'!$D$7),OR('Prop challenge'!$D$9="",D476&gt;='Prop challenge'!$D$9)),1,0))</f>
        <v>0</v>
      </c>
      <c r="AV476">
        <f>IF(AU476=1,IF(COUNTIFS($D$5:D476,D476,$AU$5:AU476,1)=1,1,0),0)</f>
        <v>0</v>
      </c>
      <c r="AW476" t="str">
        <f>IF(AV476=1,SUM($AV$5:AV476),"")</f>
        <v/>
      </c>
      <c r="AX476" t="str">
        <f>IF(AV476=1,SUMIFS($R$5:$R$504,$D$5:$D$504,D476,$AU$5:$AU$504,1),"")</f>
        <v/>
      </c>
    </row>
    <row r="477">
      <c r="A477" s="20" t="str">
        <f>IF(AG477=1,ROW()-4,"")</f>
        <v/>
      </c>
      <c r="B477" s="21" t="n"/>
      <c r="C477" s="22" t="n"/>
      <c r="D477" s="21" t="n"/>
      <c r="E477" s="22" t="n"/>
      <c r="F477" s="23" t="n"/>
      <c r="G477" s="23" t="n"/>
      <c r="H477" s="23" t="n"/>
      <c r="I477" s="24" t="n"/>
      <c r="J477" s="25" t="n"/>
      <c r="K477" s="25" t="n"/>
      <c r="L477" s="25" t="n"/>
      <c r="M477" s="25" t="n"/>
      <c r="N477" s="26" t="n"/>
      <c r="O477" s="26" t="n"/>
      <c r="P477" s="27" t="str">
        <f>IF(OR(J477="",K477="",I477="",AF477=0,AD477=""),"",(K477-J477)*AF477*I477*AD477*AE477)</f>
        <v/>
      </c>
      <c r="Q477" s="26" t="n"/>
      <c r="R477" s="28" t="str">
        <f>IF(Q477&lt;&gt;"",Q477,IF(P477="","",P477-N(N477)+N(O477)))</f>
        <v/>
      </c>
      <c r="S477" s="27" t="str">
        <f>IF(OR(L477="",J477="",I477="",AD477=""),"",ABS(J477-L477)*I477*AD477*AE477)</f>
        <v/>
      </c>
      <c r="T477" s="29" t="str">
        <f>IF(OR(R477="",S477="",S477=0),"",R477/S477)</f>
        <v/>
      </c>
      <c r="U477" s="20" t="str">
        <f>IF(R477="","",IF(R477&gt;0,"Ganadora",IF(R477&lt;0,"Perdedora","BE")))</f>
        <v/>
      </c>
      <c r="V477" s="23" t="n"/>
      <c r="W477" s="23" t="n"/>
      <c r="X477" s="23" t="n"/>
      <c r="Y477" s="23" t="n"/>
      <c r="Z477" s="23" t="n"/>
      <c r="AA477" s="23" t="n"/>
      <c r="AB477" s="30" t="n"/>
      <c r="AC477" s="1" t="n"/>
      <c r="AD477" s="1" t="str">
        <f>IF(G477="","",IFERROR(INDEX('Listas'!$N$6:$N$35,MATCH(G477,'Listas'!$M$6:$M$35,0)),""))</f>
        <v/>
      </c>
      <c r="AE477">
        <f>IF(G477="",1,IFERROR(INDEX('Listas'!$P$6:$P$35,MATCH(G477,'Listas'!$M$6:$M$35,0)),1))</f>
        <v>1</v>
      </c>
      <c r="AF477">
        <f>IF(H477="Compra",1,IF(H477="Venta",-1,0))</f>
        <v>0</v>
      </c>
      <c r="AG477">
        <f>IF(AND(D477&lt;&gt;"",ISNUMBER(R477)),1,0)</f>
        <v>0</v>
      </c>
      <c r="AH477">
        <f>IF(AG477=0,0,IF(OR('Panel'!$D$5="Todas las cuentas",'Panel'!$D$5="",F477='Panel'!$D$5),1,0))</f>
        <v>0</v>
      </c>
      <c r="AI477">
        <f>IF(AH477=0,0,IF(AND(OR('Panel'!$G$5="",D477&gt;='Panel'!$G$5),OR('Panel'!$J$5="",D477&lt;='Panel'!$J$5)),1,0))</f>
        <v>0</v>
      </c>
      <c r="AJ477">
        <f>IF(AI477=1,R477,0)</f>
        <v>0</v>
      </c>
      <c r="AK477" t="str">
        <f>IF(AI477=1,'Panel'!$AB$4+SUM($AJ$5:AJ477),"")</f>
        <v/>
      </c>
      <c r="AL477">
        <f>IF(AI477=0,N(AL476),IF(R477&lt;0,N(AL476)+1,0))</f>
        <v>1</v>
      </c>
      <c r="AM477">
        <f>IF(AI477=0,N(AM476),IF(R477&gt;0,N(AM476)+1,0))</f>
        <v>0</v>
      </c>
      <c r="AN477">
        <f>IF(AI477=1,MAX('Panel'!$AB$4,N(AN476),AK477),N(AN476))</f>
        <v>21371.061500000033</v>
      </c>
      <c r="AO477">
        <f>IF(AI477=1,AN477-AK477,0)</f>
        <v>0</v>
      </c>
      <c r="AP477">
        <f>IF(AND(AI477=1,AN477&gt;0),AO477/AN477,0)</f>
        <v>0</v>
      </c>
      <c r="AQ477" t="str">
        <f>IF(AI477=1,SUM($AI$5:AI477),"")</f>
        <v/>
      </c>
      <c r="AR477" t="str">
        <f>IF(AI477=1,IF(COUNTIFS($D$5:D477,D477,$AI$5:AI477,1)=1,SUMIFS($AJ$5:$AJ$504,$D$5:$D$504,D477),""),"")</f>
        <v/>
      </c>
      <c r="AS477" t="str">
        <f>IF(AG477=1,WEEKDAY(D477,2),"")</f>
        <v/>
      </c>
      <c r="AT477" s="31" t="str">
        <f>IF(AG477=1,DATE(YEAR(D477),MONTH(D477),1),"")</f>
        <v/>
      </c>
      <c r="AU477">
        <f>IF(AG477=0,0,IF(AND(OR('Prop challenge'!$D$7="",F477='Prop challenge'!$D$7),OR('Prop challenge'!$D$9="",D477&gt;='Prop challenge'!$D$9)),1,0))</f>
        <v>0</v>
      </c>
      <c r="AV477">
        <f>IF(AU477=1,IF(COUNTIFS($D$5:D477,D477,$AU$5:AU477,1)=1,1,0),0)</f>
        <v>0</v>
      </c>
      <c r="AW477" t="str">
        <f>IF(AV477=1,SUM($AV$5:AV477),"")</f>
        <v/>
      </c>
      <c r="AX477" t="str">
        <f>IF(AV477=1,SUMIFS($R$5:$R$504,$D$5:$D$504,D477,$AU$5:$AU$504,1),"")</f>
        <v/>
      </c>
    </row>
    <row r="478">
      <c r="A478" s="20" t="str">
        <f>IF(AG478=1,ROW()-4,"")</f>
        <v/>
      </c>
      <c r="B478" s="21" t="n"/>
      <c r="C478" s="22" t="n"/>
      <c r="D478" s="21" t="n"/>
      <c r="E478" s="22" t="n"/>
      <c r="F478" s="23" t="n"/>
      <c r="G478" s="23" t="n"/>
      <c r="H478" s="23" t="n"/>
      <c r="I478" s="24" t="n"/>
      <c r="J478" s="25" t="n"/>
      <c r="K478" s="25" t="n"/>
      <c r="L478" s="25" t="n"/>
      <c r="M478" s="25" t="n"/>
      <c r="N478" s="26" t="n"/>
      <c r="O478" s="26" t="n"/>
      <c r="P478" s="27" t="str">
        <f>IF(OR(J478="",K478="",I478="",AF478=0,AD478=""),"",(K478-J478)*AF478*I478*AD478*AE478)</f>
        <v/>
      </c>
      <c r="Q478" s="26" t="n"/>
      <c r="R478" s="28" t="str">
        <f>IF(Q478&lt;&gt;"",Q478,IF(P478="","",P478-N(N478)+N(O478)))</f>
        <v/>
      </c>
      <c r="S478" s="27" t="str">
        <f>IF(OR(L478="",J478="",I478="",AD478=""),"",ABS(J478-L478)*I478*AD478*AE478)</f>
        <v/>
      </c>
      <c r="T478" s="29" t="str">
        <f>IF(OR(R478="",S478="",S478=0),"",R478/S478)</f>
        <v/>
      </c>
      <c r="U478" s="20" t="str">
        <f>IF(R478="","",IF(R478&gt;0,"Ganadora",IF(R478&lt;0,"Perdedora","BE")))</f>
        <v/>
      </c>
      <c r="V478" s="23" t="n"/>
      <c r="W478" s="23" t="n"/>
      <c r="X478" s="23" t="n"/>
      <c r="Y478" s="23" t="n"/>
      <c r="Z478" s="23" t="n"/>
      <c r="AA478" s="23" t="n"/>
      <c r="AB478" s="30" t="n"/>
      <c r="AC478" s="1" t="n"/>
      <c r="AD478" s="1" t="str">
        <f>IF(G478="","",IFERROR(INDEX('Listas'!$N$6:$N$35,MATCH(G478,'Listas'!$M$6:$M$35,0)),""))</f>
        <v/>
      </c>
      <c r="AE478">
        <f>IF(G478="",1,IFERROR(INDEX('Listas'!$P$6:$P$35,MATCH(G478,'Listas'!$M$6:$M$35,0)),1))</f>
        <v>1</v>
      </c>
      <c r="AF478">
        <f>IF(H478="Compra",1,IF(H478="Venta",-1,0))</f>
        <v>0</v>
      </c>
      <c r="AG478">
        <f>IF(AND(D478&lt;&gt;"",ISNUMBER(R478)),1,0)</f>
        <v>0</v>
      </c>
      <c r="AH478">
        <f>IF(AG478=0,0,IF(OR('Panel'!$D$5="Todas las cuentas",'Panel'!$D$5="",F478='Panel'!$D$5),1,0))</f>
        <v>0</v>
      </c>
      <c r="AI478">
        <f>IF(AH478=0,0,IF(AND(OR('Panel'!$G$5="",D478&gt;='Panel'!$G$5),OR('Panel'!$J$5="",D478&lt;='Panel'!$J$5)),1,0))</f>
        <v>0</v>
      </c>
      <c r="AJ478">
        <f>IF(AI478=1,R478,0)</f>
        <v>0</v>
      </c>
      <c r="AK478" t="str">
        <f>IF(AI478=1,'Panel'!$AB$4+SUM($AJ$5:AJ478),"")</f>
        <v/>
      </c>
      <c r="AL478">
        <f>IF(AI478=0,N(AL477),IF(R478&lt;0,N(AL477)+1,0))</f>
        <v>1</v>
      </c>
      <c r="AM478">
        <f>IF(AI478=0,N(AM477),IF(R478&gt;0,N(AM477)+1,0))</f>
        <v>0</v>
      </c>
      <c r="AN478">
        <f>IF(AI478=1,MAX('Panel'!$AB$4,N(AN477),AK478),N(AN477))</f>
        <v>21371.061500000033</v>
      </c>
      <c r="AO478">
        <f>IF(AI478=1,AN478-AK478,0)</f>
        <v>0</v>
      </c>
      <c r="AP478">
        <f>IF(AND(AI478=1,AN478&gt;0),AO478/AN478,0)</f>
        <v>0</v>
      </c>
      <c r="AQ478" t="str">
        <f>IF(AI478=1,SUM($AI$5:AI478),"")</f>
        <v/>
      </c>
      <c r="AR478" t="str">
        <f>IF(AI478=1,IF(COUNTIFS($D$5:D478,D478,$AI$5:AI478,1)=1,SUMIFS($AJ$5:$AJ$504,$D$5:$D$504,D478),""),"")</f>
        <v/>
      </c>
      <c r="AS478" t="str">
        <f>IF(AG478=1,WEEKDAY(D478,2),"")</f>
        <v/>
      </c>
      <c r="AT478" s="31" t="str">
        <f>IF(AG478=1,DATE(YEAR(D478),MONTH(D478),1),"")</f>
        <v/>
      </c>
      <c r="AU478">
        <f>IF(AG478=0,0,IF(AND(OR('Prop challenge'!$D$7="",F478='Prop challenge'!$D$7),OR('Prop challenge'!$D$9="",D478&gt;='Prop challenge'!$D$9)),1,0))</f>
        <v>0</v>
      </c>
      <c r="AV478">
        <f>IF(AU478=1,IF(COUNTIFS($D$5:D478,D478,$AU$5:AU478,1)=1,1,0),0)</f>
        <v>0</v>
      </c>
      <c r="AW478" t="str">
        <f>IF(AV478=1,SUM($AV$5:AV478),"")</f>
        <v/>
      </c>
      <c r="AX478" t="str">
        <f>IF(AV478=1,SUMIFS($R$5:$R$504,$D$5:$D$504,D478,$AU$5:$AU$504,1),"")</f>
        <v/>
      </c>
    </row>
    <row r="479">
      <c r="A479" s="20" t="str">
        <f>IF(AG479=1,ROW()-4,"")</f>
        <v/>
      </c>
      <c r="B479" s="21" t="n"/>
      <c r="C479" s="22" t="n"/>
      <c r="D479" s="21" t="n"/>
      <c r="E479" s="22" t="n"/>
      <c r="F479" s="23" t="n"/>
      <c r="G479" s="23" t="n"/>
      <c r="H479" s="23" t="n"/>
      <c r="I479" s="24" t="n"/>
      <c r="J479" s="25" t="n"/>
      <c r="K479" s="25" t="n"/>
      <c r="L479" s="25" t="n"/>
      <c r="M479" s="25" t="n"/>
      <c r="N479" s="26" t="n"/>
      <c r="O479" s="26" t="n"/>
      <c r="P479" s="27" t="str">
        <f>IF(OR(J479="",K479="",I479="",AF479=0,AD479=""),"",(K479-J479)*AF479*I479*AD479*AE479)</f>
        <v/>
      </c>
      <c r="Q479" s="26" t="n"/>
      <c r="R479" s="28" t="str">
        <f>IF(Q479&lt;&gt;"",Q479,IF(P479="","",P479-N(N479)+N(O479)))</f>
        <v/>
      </c>
      <c r="S479" s="27" t="str">
        <f>IF(OR(L479="",J479="",I479="",AD479=""),"",ABS(J479-L479)*I479*AD479*AE479)</f>
        <v/>
      </c>
      <c r="T479" s="29" t="str">
        <f>IF(OR(R479="",S479="",S479=0),"",R479/S479)</f>
        <v/>
      </c>
      <c r="U479" s="20" t="str">
        <f>IF(R479="","",IF(R479&gt;0,"Ganadora",IF(R479&lt;0,"Perdedora","BE")))</f>
        <v/>
      </c>
      <c r="V479" s="23" t="n"/>
      <c r="W479" s="23" t="n"/>
      <c r="X479" s="23" t="n"/>
      <c r="Y479" s="23" t="n"/>
      <c r="Z479" s="23" t="n"/>
      <c r="AA479" s="23" t="n"/>
      <c r="AB479" s="30" t="n"/>
      <c r="AC479" s="1" t="n"/>
      <c r="AD479" s="1" t="str">
        <f>IF(G479="","",IFERROR(INDEX('Listas'!$N$6:$N$35,MATCH(G479,'Listas'!$M$6:$M$35,0)),""))</f>
        <v/>
      </c>
      <c r="AE479">
        <f>IF(G479="",1,IFERROR(INDEX('Listas'!$P$6:$P$35,MATCH(G479,'Listas'!$M$6:$M$35,0)),1))</f>
        <v>1</v>
      </c>
      <c r="AF479">
        <f>IF(H479="Compra",1,IF(H479="Venta",-1,0))</f>
        <v>0</v>
      </c>
      <c r="AG479">
        <f>IF(AND(D479&lt;&gt;"",ISNUMBER(R479)),1,0)</f>
        <v>0</v>
      </c>
      <c r="AH479">
        <f>IF(AG479=0,0,IF(OR('Panel'!$D$5="Todas las cuentas",'Panel'!$D$5="",F479='Panel'!$D$5),1,0))</f>
        <v>0</v>
      </c>
      <c r="AI479">
        <f>IF(AH479=0,0,IF(AND(OR('Panel'!$G$5="",D479&gt;='Panel'!$G$5),OR('Panel'!$J$5="",D479&lt;='Panel'!$J$5)),1,0))</f>
        <v>0</v>
      </c>
      <c r="AJ479">
        <f>IF(AI479=1,R479,0)</f>
        <v>0</v>
      </c>
      <c r="AK479" t="str">
        <f>IF(AI479=1,'Panel'!$AB$4+SUM($AJ$5:AJ479),"")</f>
        <v/>
      </c>
      <c r="AL479">
        <f>IF(AI479=0,N(AL478),IF(R479&lt;0,N(AL478)+1,0))</f>
        <v>1</v>
      </c>
      <c r="AM479">
        <f>IF(AI479=0,N(AM478),IF(R479&gt;0,N(AM478)+1,0))</f>
        <v>0</v>
      </c>
      <c r="AN479">
        <f>IF(AI479=1,MAX('Panel'!$AB$4,N(AN478),AK479),N(AN478))</f>
        <v>21371.061500000033</v>
      </c>
      <c r="AO479">
        <f>IF(AI479=1,AN479-AK479,0)</f>
        <v>0</v>
      </c>
      <c r="AP479">
        <f>IF(AND(AI479=1,AN479&gt;0),AO479/AN479,0)</f>
        <v>0</v>
      </c>
      <c r="AQ479" t="str">
        <f>IF(AI479=1,SUM($AI$5:AI479),"")</f>
        <v/>
      </c>
      <c r="AR479" t="str">
        <f>IF(AI479=1,IF(COUNTIFS($D$5:D479,D479,$AI$5:AI479,1)=1,SUMIFS($AJ$5:$AJ$504,$D$5:$D$504,D479),""),"")</f>
        <v/>
      </c>
      <c r="AS479" t="str">
        <f>IF(AG479=1,WEEKDAY(D479,2),"")</f>
        <v/>
      </c>
      <c r="AT479" s="31" t="str">
        <f>IF(AG479=1,DATE(YEAR(D479),MONTH(D479),1),"")</f>
        <v/>
      </c>
      <c r="AU479">
        <f>IF(AG479=0,0,IF(AND(OR('Prop challenge'!$D$7="",F479='Prop challenge'!$D$7),OR('Prop challenge'!$D$9="",D479&gt;='Prop challenge'!$D$9)),1,0))</f>
        <v>0</v>
      </c>
      <c r="AV479">
        <f>IF(AU479=1,IF(COUNTIFS($D$5:D479,D479,$AU$5:AU479,1)=1,1,0),0)</f>
        <v>0</v>
      </c>
      <c r="AW479" t="str">
        <f>IF(AV479=1,SUM($AV$5:AV479),"")</f>
        <v/>
      </c>
      <c r="AX479" t="str">
        <f>IF(AV479=1,SUMIFS($R$5:$R$504,$D$5:$D$504,D479,$AU$5:$AU$504,1),"")</f>
        <v/>
      </c>
    </row>
    <row r="480">
      <c r="A480" s="20" t="str">
        <f>IF(AG480=1,ROW()-4,"")</f>
        <v/>
      </c>
      <c r="B480" s="21" t="n"/>
      <c r="C480" s="22" t="n"/>
      <c r="D480" s="21" t="n"/>
      <c r="E480" s="22" t="n"/>
      <c r="F480" s="23" t="n"/>
      <c r="G480" s="23" t="n"/>
      <c r="H480" s="23" t="n"/>
      <c r="I480" s="24" t="n"/>
      <c r="J480" s="25" t="n"/>
      <c r="K480" s="25" t="n"/>
      <c r="L480" s="25" t="n"/>
      <c r="M480" s="25" t="n"/>
      <c r="N480" s="26" t="n"/>
      <c r="O480" s="26" t="n"/>
      <c r="P480" s="27" t="str">
        <f>IF(OR(J480="",K480="",I480="",AF480=0,AD480=""),"",(K480-J480)*AF480*I480*AD480*AE480)</f>
        <v/>
      </c>
      <c r="Q480" s="26" t="n"/>
      <c r="R480" s="28" t="str">
        <f>IF(Q480&lt;&gt;"",Q480,IF(P480="","",P480-N(N480)+N(O480)))</f>
        <v/>
      </c>
      <c r="S480" s="27" t="str">
        <f>IF(OR(L480="",J480="",I480="",AD480=""),"",ABS(J480-L480)*I480*AD480*AE480)</f>
        <v/>
      </c>
      <c r="T480" s="29" t="str">
        <f>IF(OR(R480="",S480="",S480=0),"",R480/S480)</f>
        <v/>
      </c>
      <c r="U480" s="20" t="str">
        <f>IF(R480="","",IF(R480&gt;0,"Ganadora",IF(R480&lt;0,"Perdedora","BE")))</f>
        <v/>
      </c>
      <c r="V480" s="23" t="n"/>
      <c r="W480" s="23" t="n"/>
      <c r="X480" s="23" t="n"/>
      <c r="Y480" s="23" t="n"/>
      <c r="Z480" s="23" t="n"/>
      <c r="AA480" s="23" t="n"/>
      <c r="AB480" s="30" t="n"/>
      <c r="AC480" s="1" t="n"/>
      <c r="AD480" s="1" t="str">
        <f>IF(G480="","",IFERROR(INDEX('Listas'!$N$6:$N$35,MATCH(G480,'Listas'!$M$6:$M$35,0)),""))</f>
        <v/>
      </c>
      <c r="AE480">
        <f>IF(G480="",1,IFERROR(INDEX('Listas'!$P$6:$P$35,MATCH(G480,'Listas'!$M$6:$M$35,0)),1))</f>
        <v>1</v>
      </c>
      <c r="AF480">
        <f>IF(H480="Compra",1,IF(H480="Venta",-1,0))</f>
        <v>0</v>
      </c>
      <c r="AG480">
        <f>IF(AND(D480&lt;&gt;"",ISNUMBER(R480)),1,0)</f>
        <v>0</v>
      </c>
      <c r="AH480">
        <f>IF(AG480=0,0,IF(OR('Panel'!$D$5="Todas las cuentas",'Panel'!$D$5="",F480='Panel'!$D$5),1,0))</f>
        <v>0</v>
      </c>
      <c r="AI480">
        <f>IF(AH480=0,0,IF(AND(OR('Panel'!$G$5="",D480&gt;='Panel'!$G$5),OR('Panel'!$J$5="",D480&lt;='Panel'!$J$5)),1,0))</f>
        <v>0</v>
      </c>
      <c r="AJ480">
        <f>IF(AI480=1,R480,0)</f>
        <v>0</v>
      </c>
      <c r="AK480" t="str">
        <f>IF(AI480=1,'Panel'!$AB$4+SUM($AJ$5:AJ480),"")</f>
        <v/>
      </c>
      <c r="AL480">
        <f>IF(AI480=0,N(AL479),IF(R480&lt;0,N(AL479)+1,0))</f>
        <v>1</v>
      </c>
      <c r="AM480">
        <f>IF(AI480=0,N(AM479),IF(R480&gt;0,N(AM479)+1,0))</f>
        <v>0</v>
      </c>
      <c r="AN480">
        <f>IF(AI480=1,MAX('Panel'!$AB$4,N(AN479),AK480),N(AN479))</f>
        <v>21371.061500000033</v>
      </c>
      <c r="AO480">
        <f>IF(AI480=1,AN480-AK480,0)</f>
        <v>0</v>
      </c>
      <c r="AP480">
        <f>IF(AND(AI480=1,AN480&gt;0),AO480/AN480,0)</f>
        <v>0</v>
      </c>
      <c r="AQ480" t="str">
        <f>IF(AI480=1,SUM($AI$5:AI480),"")</f>
        <v/>
      </c>
      <c r="AR480" t="str">
        <f>IF(AI480=1,IF(COUNTIFS($D$5:D480,D480,$AI$5:AI480,1)=1,SUMIFS($AJ$5:$AJ$504,$D$5:$D$504,D480),""),"")</f>
        <v/>
      </c>
      <c r="AS480" t="str">
        <f>IF(AG480=1,WEEKDAY(D480,2),"")</f>
        <v/>
      </c>
      <c r="AT480" s="31" t="str">
        <f>IF(AG480=1,DATE(YEAR(D480),MONTH(D480),1),"")</f>
        <v/>
      </c>
      <c r="AU480">
        <f>IF(AG480=0,0,IF(AND(OR('Prop challenge'!$D$7="",F480='Prop challenge'!$D$7),OR('Prop challenge'!$D$9="",D480&gt;='Prop challenge'!$D$9)),1,0))</f>
        <v>0</v>
      </c>
      <c r="AV480">
        <f>IF(AU480=1,IF(COUNTIFS($D$5:D480,D480,$AU$5:AU480,1)=1,1,0),0)</f>
        <v>0</v>
      </c>
      <c r="AW480" t="str">
        <f>IF(AV480=1,SUM($AV$5:AV480),"")</f>
        <v/>
      </c>
      <c r="AX480" t="str">
        <f>IF(AV480=1,SUMIFS($R$5:$R$504,$D$5:$D$504,D480,$AU$5:$AU$504,1),"")</f>
        <v/>
      </c>
    </row>
    <row r="481">
      <c r="A481" s="20" t="str">
        <f>IF(AG481=1,ROW()-4,"")</f>
        <v/>
      </c>
      <c r="B481" s="21" t="n"/>
      <c r="C481" s="22" t="n"/>
      <c r="D481" s="21" t="n"/>
      <c r="E481" s="22" t="n"/>
      <c r="F481" s="23" t="n"/>
      <c r="G481" s="23" t="n"/>
      <c r="H481" s="23" t="n"/>
      <c r="I481" s="24" t="n"/>
      <c r="J481" s="25" t="n"/>
      <c r="K481" s="25" t="n"/>
      <c r="L481" s="25" t="n"/>
      <c r="M481" s="25" t="n"/>
      <c r="N481" s="26" t="n"/>
      <c r="O481" s="26" t="n"/>
      <c r="P481" s="27" t="str">
        <f>IF(OR(J481="",K481="",I481="",AF481=0,AD481=""),"",(K481-J481)*AF481*I481*AD481*AE481)</f>
        <v/>
      </c>
      <c r="Q481" s="26" t="n"/>
      <c r="R481" s="28" t="str">
        <f>IF(Q481&lt;&gt;"",Q481,IF(P481="","",P481-N(N481)+N(O481)))</f>
        <v/>
      </c>
      <c r="S481" s="27" t="str">
        <f>IF(OR(L481="",J481="",I481="",AD481=""),"",ABS(J481-L481)*I481*AD481*AE481)</f>
        <v/>
      </c>
      <c r="T481" s="29" t="str">
        <f>IF(OR(R481="",S481="",S481=0),"",R481/S481)</f>
        <v/>
      </c>
      <c r="U481" s="20" t="str">
        <f>IF(R481="","",IF(R481&gt;0,"Ganadora",IF(R481&lt;0,"Perdedora","BE")))</f>
        <v/>
      </c>
      <c r="V481" s="23" t="n"/>
      <c r="W481" s="23" t="n"/>
      <c r="X481" s="23" t="n"/>
      <c r="Y481" s="23" t="n"/>
      <c r="Z481" s="23" t="n"/>
      <c r="AA481" s="23" t="n"/>
      <c r="AB481" s="30" t="n"/>
      <c r="AC481" s="1" t="n"/>
      <c r="AD481" s="1" t="str">
        <f>IF(G481="","",IFERROR(INDEX('Listas'!$N$6:$N$35,MATCH(G481,'Listas'!$M$6:$M$35,0)),""))</f>
        <v/>
      </c>
      <c r="AE481">
        <f>IF(G481="",1,IFERROR(INDEX('Listas'!$P$6:$P$35,MATCH(G481,'Listas'!$M$6:$M$35,0)),1))</f>
        <v>1</v>
      </c>
      <c r="AF481">
        <f>IF(H481="Compra",1,IF(H481="Venta",-1,0))</f>
        <v>0</v>
      </c>
      <c r="AG481">
        <f>IF(AND(D481&lt;&gt;"",ISNUMBER(R481)),1,0)</f>
        <v>0</v>
      </c>
      <c r="AH481">
        <f>IF(AG481=0,0,IF(OR('Panel'!$D$5="Todas las cuentas",'Panel'!$D$5="",F481='Panel'!$D$5),1,0))</f>
        <v>0</v>
      </c>
      <c r="AI481">
        <f>IF(AH481=0,0,IF(AND(OR('Panel'!$G$5="",D481&gt;='Panel'!$G$5),OR('Panel'!$J$5="",D481&lt;='Panel'!$J$5)),1,0))</f>
        <v>0</v>
      </c>
      <c r="AJ481">
        <f>IF(AI481=1,R481,0)</f>
        <v>0</v>
      </c>
      <c r="AK481" t="str">
        <f>IF(AI481=1,'Panel'!$AB$4+SUM($AJ$5:AJ481),"")</f>
        <v/>
      </c>
      <c r="AL481">
        <f>IF(AI481=0,N(AL480),IF(R481&lt;0,N(AL480)+1,0))</f>
        <v>1</v>
      </c>
      <c r="AM481">
        <f>IF(AI481=0,N(AM480),IF(R481&gt;0,N(AM480)+1,0))</f>
        <v>0</v>
      </c>
      <c r="AN481">
        <f>IF(AI481=1,MAX('Panel'!$AB$4,N(AN480),AK481),N(AN480))</f>
        <v>21371.061500000033</v>
      </c>
      <c r="AO481">
        <f>IF(AI481=1,AN481-AK481,0)</f>
        <v>0</v>
      </c>
      <c r="AP481">
        <f>IF(AND(AI481=1,AN481&gt;0),AO481/AN481,0)</f>
        <v>0</v>
      </c>
      <c r="AQ481" t="str">
        <f>IF(AI481=1,SUM($AI$5:AI481),"")</f>
        <v/>
      </c>
      <c r="AR481" t="str">
        <f>IF(AI481=1,IF(COUNTIFS($D$5:D481,D481,$AI$5:AI481,1)=1,SUMIFS($AJ$5:$AJ$504,$D$5:$D$504,D481),""),"")</f>
        <v/>
      </c>
      <c r="AS481" t="str">
        <f>IF(AG481=1,WEEKDAY(D481,2),"")</f>
        <v/>
      </c>
      <c r="AT481" s="31" t="str">
        <f>IF(AG481=1,DATE(YEAR(D481),MONTH(D481),1),"")</f>
        <v/>
      </c>
      <c r="AU481">
        <f>IF(AG481=0,0,IF(AND(OR('Prop challenge'!$D$7="",F481='Prop challenge'!$D$7),OR('Prop challenge'!$D$9="",D481&gt;='Prop challenge'!$D$9)),1,0))</f>
        <v>0</v>
      </c>
      <c r="AV481">
        <f>IF(AU481=1,IF(COUNTIFS($D$5:D481,D481,$AU$5:AU481,1)=1,1,0),0)</f>
        <v>0</v>
      </c>
      <c r="AW481" t="str">
        <f>IF(AV481=1,SUM($AV$5:AV481),"")</f>
        <v/>
      </c>
      <c r="AX481" t="str">
        <f>IF(AV481=1,SUMIFS($R$5:$R$504,$D$5:$D$504,D481,$AU$5:$AU$504,1),"")</f>
        <v/>
      </c>
    </row>
    <row r="482">
      <c r="A482" s="20" t="str">
        <f>IF(AG482=1,ROW()-4,"")</f>
        <v/>
      </c>
      <c r="B482" s="21" t="n"/>
      <c r="C482" s="22" t="n"/>
      <c r="D482" s="21" t="n"/>
      <c r="E482" s="22" t="n"/>
      <c r="F482" s="23" t="n"/>
      <c r="G482" s="23" t="n"/>
      <c r="H482" s="23" t="n"/>
      <c r="I482" s="24" t="n"/>
      <c r="J482" s="25" t="n"/>
      <c r="K482" s="25" t="n"/>
      <c r="L482" s="25" t="n"/>
      <c r="M482" s="25" t="n"/>
      <c r="N482" s="26" t="n"/>
      <c r="O482" s="26" t="n"/>
      <c r="P482" s="27" t="str">
        <f>IF(OR(J482="",K482="",I482="",AF482=0,AD482=""),"",(K482-J482)*AF482*I482*AD482*AE482)</f>
        <v/>
      </c>
      <c r="Q482" s="26" t="n"/>
      <c r="R482" s="28" t="str">
        <f>IF(Q482&lt;&gt;"",Q482,IF(P482="","",P482-N(N482)+N(O482)))</f>
        <v/>
      </c>
      <c r="S482" s="27" t="str">
        <f>IF(OR(L482="",J482="",I482="",AD482=""),"",ABS(J482-L482)*I482*AD482*AE482)</f>
        <v/>
      </c>
      <c r="T482" s="29" t="str">
        <f>IF(OR(R482="",S482="",S482=0),"",R482/S482)</f>
        <v/>
      </c>
      <c r="U482" s="20" t="str">
        <f>IF(R482="","",IF(R482&gt;0,"Ganadora",IF(R482&lt;0,"Perdedora","BE")))</f>
        <v/>
      </c>
      <c r="V482" s="23" t="n"/>
      <c r="W482" s="23" t="n"/>
      <c r="X482" s="23" t="n"/>
      <c r="Y482" s="23" t="n"/>
      <c r="Z482" s="23" t="n"/>
      <c r="AA482" s="23" t="n"/>
      <c r="AB482" s="30" t="n"/>
      <c r="AC482" s="1" t="n"/>
      <c r="AD482" s="1" t="str">
        <f>IF(G482="","",IFERROR(INDEX('Listas'!$N$6:$N$35,MATCH(G482,'Listas'!$M$6:$M$35,0)),""))</f>
        <v/>
      </c>
      <c r="AE482">
        <f>IF(G482="",1,IFERROR(INDEX('Listas'!$P$6:$P$35,MATCH(G482,'Listas'!$M$6:$M$35,0)),1))</f>
        <v>1</v>
      </c>
      <c r="AF482">
        <f>IF(H482="Compra",1,IF(H482="Venta",-1,0))</f>
        <v>0</v>
      </c>
      <c r="AG482">
        <f>IF(AND(D482&lt;&gt;"",ISNUMBER(R482)),1,0)</f>
        <v>0</v>
      </c>
      <c r="AH482">
        <f>IF(AG482=0,0,IF(OR('Panel'!$D$5="Todas las cuentas",'Panel'!$D$5="",F482='Panel'!$D$5),1,0))</f>
        <v>0</v>
      </c>
      <c r="AI482">
        <f>IF(AH482=0,0,IF(AND(OR('Panel'!$G$5="",D482&gt;='Panel'!$G$5),OR('Panel'!$J$5="",D482&lt;='Panel'!$J$5)),1,0))</f>
        <v>0</v>
      </c>
      <c r="AJ482">
        <f>IF(AI482=1,R482,0)</f>
        <v>0</v>
      </c>
      <c r="AK482" t="str">
        <f>IF(AI482=1,'Panel'!$AB$4+SUM($AJ$5:AJ482),"")</f>
        <v/>
      </c>
      <c r="AL482">
        <f>IF(AI482=0,N(AL481),IF(R482&lt;0,N(AL481)+1,0))</f>
        <v>1</v>
      </c>
      <c r="AM482">
        <f>IF(AI482=0,N(AM481),IF(R482&gt;0,N(AM481)+1,0))</f>
        <v>0</v>
      </c>
      <c r="AN482">
        <f>IF(AI482=1,MAX('Panel'!$AB$4,N(AN481),AK482),N(AN481))</f>
        <v>21371.061500000033</v>
      </c>
      <c r="AO482">
        <f>IF(AI482=1,AN482-AK482,0)</f>
        <v>0</v>
      </c>
      <c r="AP482">
        <f>IF(AND(AI482=1,AN482&gt;0),AO482/AN482,0)</f>
        <v>0</v>
      </c>
      <c r="AQ482" t="str">
        <f>IF(AI482=1,SUM($AI$5:AI482),"")</f>
        <v/>
      </c>
      <c r="AR482" t="str">
        <f>IF(AI482=1,IF(COUNTIFS($D$5:D482,D482,$AI$5:AI482,1)=1,SUMIFS($AJ$5:$AJ$504,$D$5:$D$504,D482),""),"")</f>
        <v/>
      </c>
      <c r="AS482" t="str">
        <f>IF(AG482=1,WEEKDAY(D482,2),"")</f>
        <v/>
      </c>
      <c r="AT482" s="31" t="str">
        <f>IF(AG482=1,DATE(YEAR(D482),MONTH(D482),1),"")</f>
        <v/>
      </c>
      <c r="AU482">
        <f>IF(AG482=0,0,IF(AND(OR('Prop challenge'!$D$7="",F482='Prop challenge'!$D$7),OR('Prop challenge'!$D$9="",D482&gt;='Prop challenge'!$D$9)),1,0))</f>
        <v>0</v>
      </c>
      <c r="AV482">
        <f>IF(AU482=1,IF(COUNTIFS($D$5:D482,D482,$AU$5:AU482,1)=1,1,0),0)</f>
        <v>0</v>
      </c>
      <c r="AW482" t="str">
        <f>IF(AV482=1,SUM($AV$5:AV482),"")</f>
        <v/>
      </c>
      <c r="AX482" t="str">
        <f>IF(AV482=1,SUMIFS($R$5:$R$504,$D$5:$D$504,D482,$AU$5:$AU$504,1),"")</f>
        <v/>
      </c>
    </row>
    <row r="483">
      <c r="A483" s="20" t="str">
        <f>IF(AG483=1,ROW()-4,"")</f>
        <v/>
      </c>
      <c r="B483" s="21" t="n"/>
      <c r="C483" s="22" t="n"/>
      <c r="D483" s="21" t="n"/>
      <c r="E483" s="22" t="n"/>
      <c r="F483" s="23" t="n"/>
      <c r="G483" s="23" t="n"/>
      <c r="H483" s="23" t="n"/>
      <c r="I483" s="24" t="n"/>
      <c r="J483" s="25" t="n"/>
      <c r="K483" s="25" t="n"/>
      <c r="L483" s="25" t="n"/>
      <c r="M483" s="25" t="n"/>
      <c r="N483" s="26" t="n"/>
      <c r="O483" s="26" t="n"/>
      <c r="P483" s="27" t="str">
        <f>IF(OR(J483="",K483="",I483="",AF483=0,AD483=""),"",(K483-J483)*AF483*I483*AD483*AE483)</f>
        <v/>
      </c>
      <c r="Q483" s="26" t="n"/>
      <c r="R483" s="28" t="str">
        <f>IF(Q483&lt;&gt;"",Q483,IF(P483="","",P483-N(N483)+N(O483)))</f>
        <v/>
      </c>
      <c r="S483" s="27" t="str">
        <f>IF(OR(L483="",J483="",I483="",AD483=""),"",ABS(J483-L483)*I483*AD483*AE483)</f>
        <v/>
      </c>
      <c r="T483" s="29" t="str">
        <f>IF(OR(R483="",S483="",S483=0),"",R483/S483)</f>
        <v/>
      </c>
      <c r="U483" s="20" t="str">
        <f>IF(R483="","",IF(R483&gt;0,"Ganadora",IF(R483&lt;0,"Perdedora","BE")))</f>
        <v/>
      </c>
      <c r="V483" s="23" t="n"/>
      <c r="W483" s="23" t="n"/>
      <c r="X483" s="23" t="n"/>
      <c r="Y483" s="23" t="n"/>
      <c r="Z483" s="23" t="n"/>
      <c r="AA483" s="23" t="n"/>
      <c r="AB483" s="30" t="n"/>
      <c r="AC483" s="1" t="n"/>
      <c r="AD483" s="1" t="str">
        <f>IF(G483="","",IFERROR(INDEX('Listas'!$N$6:$N$35,MATCH(G483,'Listas'!$M$6:$M$35,0)),""))</f>
        <v/>
      </c>
      <c r="AE483">
        <f>IF(G483="",1,IFERROR(INDEX('Listas'!$P$6:$P$35,MATCH(G483,'Listas'!$M$6:$M$35,0)),1))</f>
        <v>1</v>
      </c>
      <c r="AF483">
        <f>IF(H483="Compra",1,IF(H483="Venta",-1,0))</f>
        <v>0</v>
      </c>
      <c r="AG483">
        <f>IF(AND(D483&lt;&gt;"",ISNUMBER(R483)),1,0)</f>
        <v>0</v>
      </c>
      <c r="AH483">
        <f>IF(AG483=0,0,IF(OR('Panel'!$D$5="Todas las cuentas",'Panel'!$D$5="",F483='Panel'!$D$5),1,0))</f>
        <v>0</v>
      </c>
      <c r="AI483">
        <f>IF(AH483=0,0,IF(AND(OR('Panel'!$G$5="",D483&gt;='Panel'!$G$5),OR('Panel'!$J$5="",D483&lt;='Panel'!$J$5)),1,0))</f>
        <v>0</v>
      </c>
      <c r="AJ483">
        <f>IF(AI483=1,R483,0)</f>
        <v>0</v>
      </c>
      <c r="AK483" t="str">
        <f>IF(AI483=1,'Panel'!$AB$4+SUM($AJ$5:AJ483),"")</f>
        <v/>
      </c>
      <c r="AL483">
        <f>IF(AI483=0,N(AL482),IF(R483&lt;0,N(AL482)+1,0))</f>
        <v>1</v>
      </c>
      <c r="AM483">
        <f>IF(AI483=0,N(AM482),IF(R483&gt;0,N(AM482)+1,0))</f>
        <v>0</v>
      </c>
      <c r="AN483">
        <f>IF(AI483=1,MAX('Panel'!$AB$4,N(AN482),AK483),N(AN482))</f>
        <v>21371.061500000033</v>
      </c>
      <c r="AO483">
        <f>IF(AI483=1,AN483-AK483,0)</f>
        <v>0</v>
      </c>
      <c r="AP483">
        <f>IF(AND(AI483=1,AN483&gt;0),AO483/AN483,0)</f>
        <v>0</v>
      </c>
      <c r="AQ483" t="str">
        <f>IF(AI483=1,SUM($AI$5:AI483),"")</f>
        <v/>
      </c>
      <c r="AR483" t="str">
        <f>IF(AI483=1,IF(COUNTIFS($D$5:D483,D483,$AI$5:AI483,1)=1,SUMIFS($AJ$5:$AJ$504,$D$5:$D$504,D483),""),"")</f>
        <v/>
      </c>
      <c r="AS483" t="str">
        <f>IF(AG483=1,WEEKDAY(D483,2),"")</f>
        <v/>
      </c>
      <c r="AT483" s="31" t="str">
        <f>IF(AG483=1,DATE(YEAR(D483),MONTH(D483),1),"")</f>
        <v/>
      </c>
      <c r="AU483">
        <f>IF(AG483=0,0,IF(AND(OR('Prop challenge'!$D$7="",F483='Prop challenge'!$D$7),OR('Prop challenge'!$D$9="",D483&gt;='Prop challenge'!$D$9)),1,0))</f>
        <v>0</v>
      </c>
      <c r="AV483">
        <f>IF(AU483=1,IF(COUNTIFS($D$5:D483,D483,$AU$5:AU483,1)=1,1,0),0)</f>
        <v>0</v>
      </c>
      <c r="AW483" t="str">
        <f>IF(AV483=1,SUM($AV$5:AV483),"")</f>
        <v/>
      </c>
      <c r="AX483" t="str">
        <f>IF(AV483=1,SUMIFS($R$5:$R$504,$D$5:$D$504,D483,$AU$5:$AU$504,1),"")</f>
        <v/>
      </c>
    </row>
    <row r="484">
      <c r="A484" s="20" t="str">
        <f>IF(AG484=1,ROW()-4,"")</f>
        <v/>
      </c>
      <c r="B484" s="21" t="n"/>
      <c r="C484" s="22" t="n"/>
      <c r="D484" s="21" t="n"/>
      <c r="E484" s="22" t="n"/>
      <c r="F484" s="23" t="n"/>
      <c r="G484" s="23" t="n"/>
      <c r="H484" s="23" t="n"/>
      <c r="I484" s="24" t="n"/>
      <c r="J484" s="25" t="n"/>
      <c r="K484" s="25" t="n"/>
      <c r="L484" s="25" t="n"/>
      <c r="M484" s="25" t="n"/>
      <c r="N484" s="26" t="n"/>
      <c r="O484" s="26" t="n"/>
      <c r="P484" s="27" t="str">
        <f>IF(OR(J484="",K484="",I484="",AF484=0,AD484=""),"",(K484-J484)*AF484*I484*AD484*AE484)</f>
        <v/>
      </c>
      <c r="Q484" s="26" t="n"/>
      <c r="R484" s="28" t="str">
        <f>IF(Q484&lt;&gt;"",Q484,IF(P484="","",P484-N(N484)+N(O484)))</f>
        <v/>
      </c>
      <c r="S484" s="27" t="str">
        <f>IF(OR(L484="",J484="",I484="",AD484=""),"",ABS(J484-L484)*I484*AD484*AE484)</f>
        <v/>
      </c>
      <c r="T484" s="29" t="str">
        <f>IF(OR(R484="",S484="",S484=0),"",R484/S484)</f>
        <v/>
      </c>
      <c r="U484" s="20" t="str">
        <f>IF(R484="","",IF(R484&gt;0,"Ganadora",IF(R484&lt;0,"Perdedora","BE")))</f>
        <v/>
      </c>
      <c r="V484" s="23" t="n"/>
      <c r="W484" s="23" t="n"/>
      <c r="X484" s="23" t="n"/>
      <c r="Y484" s="23" t="n"/>
      <c r="Z484" s="23" t="n"/>
      <c r="AA484" s="23" t="n"/>
      <c r="AB484" s="30" t="n"/>
      <c r="AC484" s="1" t="n"/>
      <c r="AD484" s="1" t="str">
        <f>IF(G484="","",IFERROR(INDEX('Listas'!$N$6:$N$35,MATCH(G484,'Listas'!$M$6:$M$35,0)),""))</f>
        <v/>
      </c>
      <c r="AE484">
        <f>IF(G484="",1,IFERROR(INDEX('Listas'!$P$6:$P$35,MATCH(G484,'Listas'!$M$6:$M$35,0)),1))</f>
        <v>1</v>
      </c>
      <c r="AF484">
        <f>IF(H484="Compra",1,IF(H484="Venta",-1,0))</f>
        <v>0</v>
      </c>
      <c r="AG484">
        <f>IF(AND(D484&lt;&gt;"",ISNUMBER(R484)),1,0)</f>
        <v>0</v>
      </c>
      <c r="AH484">
        <f>IF(AG484=0,0,IF(OR('Panel'!$D$5="Todas las cuentas",'Panel'!$D$5="",F484='Panel'!$D$5),1,0))</f>
        <v>0</v>
      </c>
      <c r="AI484">
        <f>IF(AH484=0,0,IF(AND(OR('Panel'!$G$5="",D484&gt;='Panel'!$G$5),OR('Panel'!$J$5="",D484&lt;='Panel'!$J$5)),1,0))</f>
        <v>0</v>
      </c>
      <c r="AJ484">
        <f>IF(AI484=1,R484,0)</f>
        <v>0</v>
      </c>
      <c r="AK484" t="str">
        <f>IF(AI484=1,'Panel'!$AB$4+SUM($AJ$5:AJ484),"")</f>
        <v/>
      </c>
      <c r="AL484">
        <f>IF(AI484=0,N(AL483),IF(R484&lt;0,N(AL483)+1,0))</f>
        <v>1</v>
      </c>
      <c r="AM484">
        <f>IF(AI484=0,N(AM483),IF(R484&gt;0,N(AM483)+1,0))</f>
        <v>0</v>
      </c>
      <c r="AN484">
        <f>IF(AI484=1,MAX('Panel'!$AB$4,N(AN483),AK484),N(AN483))</f>
        <v>21371.061500000033</v>
      </c>
      <c r="AO484">
        <f>IF(AI484=1,AN484-AK484,0)</f>
        <v>0</v>
      </c>
      <c r="AP484">
        <f>IF(AND(AI484=1,AN484&gt;0),AO484/AN484,0)</f>
        <v>0</v>
      </c>
      <c r="AQ484" t="str">
        <f>IF(AI484=1,SUM($AI$5:AI484),"")</f>
        <v/>
      </c>
      <c r="AR484" t="str">
        <f>IF(AI484=1,IF(COUNTIFS($D$5:D484,D484,$AI$5:AI484,1)=1,SUMIFS($AJ$5:$AJ$504,$D$5:$D$504,D484),""),"")</f>
        <v/>
      </c>
      <c r="AS484" t="str">
        <f>IF(AG484=1,WEEKDAY(D484,2),"")</f>
        <v/>
      </c>
      <c r="AT484" s="31" t="str">
        <f>IF(AG484=1,DATE(YEAR(D484),MONTH(D484),1),"")</f>
        <v/>
      </c>
      <c r="AU484">
        <f>IF(AG484=0,0,IF(AND(OR('Prop challenge'!$D$7="",F484='Prop challenge'!$D$7),OR('Prop challenge'!$D$9="",D484&gt;='Prop challenge'!$D$9)),1,0))</f>
        <v>0</v>
      </c>
      <c r="AV484">
        <f>IF(AU484=1,IF(COUNTIFS($D$5:D484,D484,$AU$5:AU484,1)=1,1,0),0)</f>
        <v>0</v>
      </c>
      <c r="AW484" t="str">
        <f>IF(AV484=1,SUM($AV$5:AV484),"")</f>
        <v/>
      </c>
      <c r="AX484" t="str">
        <f>IF(AV484=1,SUMIFS($R$5:$R$504,$D$5:$D$504,D484,$AU$5:$AU$504,1),"")</f>
        <v/>
      </c>
    </row>
    <row r="485">
      <c r="A485" s="20" t="str">
        <f>IF(AG485=1,ROW()-4,"")</f>
        <v/>
      </c>
      <c r="B485" s="21" t="n"/>
      <c r="C485" s="22" t="n"/>
      <c r="D485" s="21" t="n"/>
      <c r="E485" s="22" t="n"/>
      <c r="F485" s="23" t="n"/>
      <c r="G485" s="23" t="n"/>
      <c r="H485" s="23" t="n"/>
      <c r="I485" s="24" t="n"/>
      <c r="J485" s="25" t="n"/>
      <c r="K485" s="25" t="n"/>
      <c r="L485" s="25" t="n"/>
      <c r="M485" s="25" t="n"/>
      <c r="N485" s="26" t="n"/>
      <c r="O485" s="26" t="n"/>
      <c r="P485" s="27" t="str">
        <f>IF(OR(J485="",K485="",I485="",AF485=0,AD485=""),"",(K485-J485)*AF485*I485*AD485*AE485)</f>
        <v/>
      </c>
      <c r="Q485" s="26" t="n"/>
      <c r="R485" s="28" t="str">
        <f>IF(Q485&lt;&gt;"",Q485,IF(P485="","",P485-N(N485)+N(O485)))</f>
        <v/>
      </c>
      <c r="S485" s="27" t="str">
        <f>IF(OR(L485="",J485="",I485="",AD485=""),"",ABS(J485-L485)*I485*AD485*AE485)</f>
        <v/>
      </c>
      <c r="T485" s="29" t="str">
        <f>IF(OR(R485="",S485="",S485=0),"",R485/S485)</f>
        <v/>
      </c>
      <c r="U485" s="20" t="str">
        <f>IF(R485="","",IF(R485&gt;0,"Ganadora",IF(R485&lt;0,"Perdedora","BE")))</f>
        <v/>
      </c>
      <c r="V485" s="23" t="n"/>
      <c r="W485" s="23" t="n"/>
      <c r="X485" s="23" t="n"/>
      <c r="Y485" s="23" t="n"/>
      <c r="Z485" s="23" t="n"/>
      <c r="AA485" s="23" t="n"/>
      <c r="AB485" s="30" t="n"/>
      <c r="AC485" s="1" t="n"/>
      <c r="AD485" s="1" t="str">
        <f>IF(G485="","",IFERROR(INDEX('Listas'!$N$6:$N$35,MATCH(G485,'Listas'!$M$6:$M$35,0)),""))</f>
        <v/>
      </c>
      <c r="AE485">
        <f>IF(G485="",1,IFERROR(INDEX('Listas'!$P$6:$P$35,MATCH(G485,'Listas'!$M$6:$M$35,0)),1))</f>
        <v>1</v>
      </c>
      <c r="AF485">
        <f>IF(H485="Compra",1,IF(H485="Venta",-1,0))</f>
        <v>0</v>
      </c>
      <c r="AG485">
        <f>IF(AND(D485&lt;&gt;"",ISNUMBER(R485)),1,0)</f>
        <v>0</v>
      </c>
      <c r="AH485">
        <f>IF(AG485=0,0,IF(OR('Panel'!$D$5="Todas las cuentas",'Panel'!$D$5="",F485='Panel'!$D$5),1,0))</f>
        <v>0</v>
      </c>
      <c r="AI485">
        <f>IF(AH485=0,0,IF(AND(OR('Panel'!$G$5="",D485&gt;='Panel'!$G$5),OR('Panel'!$J$5="",D485&lt;='Panel'!$J$5)),1,0))</f>
        <v>0</v>
      </c>
      <c r="AJ485">
        <f>IF(AI485=1,R485,0)</f>
        <v>0</v>
      </c>
      <c r="AK485" t="str">
        <f>IF(AI485=1,'Panel'!$AB$4+SUM($AJ$5:AJ485),"")</f>
        <v/>
      </c>
      <c r="AL485">
        <f>IF(AI485=0,N(AL484),IF(R485&lt;0,N(AL484)+1,0))</f>
        <v>1</v>
      </c>
      <c r="AM485">
        <f>IF(AI485=0,N(AM484),IF(R485&gt;0,N(AM484)+1,0))</f>
        <v>0</v>
      </c>
      <c r="AN485">
        <f>IF(AI485=1,MAX('Panel'!$AB$4,N(AN484),AK485),N(AN484))</f>
        <v>21371.061500000033</v>
      </c>
      <c r="AO485">
        <f>IF(AI485=1,AN485-AK485,0)</f>
        <v>0</v>
      </c>
      <c r="AP485">
        <f>IF(AND(AI485=1,AN485&gt;0),AO485/AN485,0)</f>
        <v>0</v>
      </c>
      <c r="AQ485" t="str">
        <f>IF(AI485=1,SUM($AI$5:AI485),"")</f>
        <v/>
      </c>
      <c r="AR485" t="str">
        <f>IF(AI485=1,IF(COUNTIFS($D$5:D485,D485,$AI$5:AI485,1)=1,SUMIFS($AJ$5:$AJ$504,$D$5:$D$504,D485),""),"")</f>
        <v/>
      </c>
      <c r="AS485" t="str">
        <f>IF(AG485=1,WEEKDAY(D485,2),"")</f>
        <v/>
      </c>
      <c r="AT485" s="31" t="str">
        <f>IF(AG485=1,DATE(YEAR(D485),MONTH(D485),1),"")</f>
        <v/>
      </c>
      <c r="AU485">
        <f>IF(AG485=0,0,IF(AND(OR('Prop challenge'!$D$7="",F485='Prop challenge'!$D$7),OR('Prop challenge'!$D$9="",D485&gt;='Prop challenge'!$D$9)),1,0))</f>
        <v>0</v>
      </c>
      <c r="AV485">
        <f>IF(AU485=1,IF(COUNTIFS($D$5:D485,D485,$AU$5:AU485,1)=1,1,0),0)</f>
        <v>0</v>
      </c>
      <c r="AW485" t="str">
        <f>IF(AV485=1,SUM($AV$5:AV485),"")</f>
        <v/>
      </c>
      <c r="AX485" t="str">
        <f>IF(AV485=1,SUMIFS($R$5:$R$504,$D$5:$D$504,D485,$AU$5:$AU$504,1),"")</f>
        <v/>
      </c>
    </row>
    <row r="486">
      <c r="A486" s="20" t="str">
        <f>IF(AG486=1,ROW()-4,"")</f>
        <v/>
      </c>
      <c r="B486" s="21" t="n"/>
      <c r="C486" s="22" t="n"/>
      <c r="D486" s="21" t="n"/>
      <c r="E486" s="22" t="n"/>
      <c r="F486" s="23" t="n"/>
      <c r="G486" s="23" t="n"/>
      <c r="H486" s="23" t="n"/>
      <c r="I486" s="24" t="n"/>
      <c r="J486" s="25" t="n"/>
      <c r="K486" s="25" t="n"/>
      <c r="L486" s="25" t="n"/>
      <c r="M486" s="25" t="n"/>
      <c r="N486" s="26" t="n"/>
      <c r="O486" s="26" t="n"/>
      <c r="P486" s="27" t="str">
        <f>IF(OR(J486="",K486="",I486="",AF486=0,AD486=""),"",(K486-J486)*AF486*I486*AD486*AE486)</f>
        <v/>
      </c>
      <c r="Q486" s="26" t="n"/>
      <c r="R486" s="28" t="str">
        <f>IF(Q486&lt;&gt;"",Q486,IF(P486="","",P486-N(N486)+N(O486)))</f>
        <v/>
      </c>
      <c r="S486" s="27" t="str">
        <f>IF(OR(L486="",J486="",I486="",AD486=""),"",ABS(J486-L486)*I486*AD486*AE486)</f>
        <v/>
      </c>
      <c r="T486" s="29" t="str">
        <f>IF(OR(R486="",S486="",S486=0),"",R486/S486)</f>
        <v/>
      </c>
      <c r="U486" s="20" t="str">
        <f>IF(R486="","",IF(R486&gt;0,"Ganadora",IF(R486&lt;0,"Perdedora","BE")))</f>
        <v/>
      </c>
      <c r="V486" s="23" t="n"/>
      <c r="W486" s="23" t="n"/>
      <c r="X486" s="23" t="n"/>
      <c r="Y486" s="23" t="n"/>
      <c r="Z486" s="23" t="n"/>
      <c r="AA486" s="23" t="n"/>
      <c r="AB486" s="30" t="n"/>
      <c r="AC486" s="1" t="n"/>
      <c r="AD486" s="1" t="str">
        <f>IF(G486="","",IFERROR(INDEX('Listas'!$N$6:$N$35,MATCH(G486,'Listas'!$M$6:$M$35,0)),""))</f>
        <v/>
      </c>
      <c r="AE486">
        <f>IF(G486="",1,IFERROR(INDEX('Listas'!$P$6:$P$35,MATCH(G486,'Listas'!$M$6:$M$35,0)),1))</f>
        <v>1</v>
      </c>
      <c r="AF486">
        <f>IF(H486="Compra",1,IF(H486="Venta",-1,0))</f>
        <v>0</v>
      </c>
      <c r="AG486">
        <f>IF(AND(D486&lt;&gt;"",ISNUMBER(R486)),1,0)</f>
        <v>0</v>
      </c>
      <c r="AH486">
        <f>IF(AG486=0,0,IF(OR('Panel'!$D$5="Todas las cuentas",'Panel'!$D$5="",F486='Panel'!$D$5),1,0))</f>
        <v>0</v>
      </c>
      <c r="AI486">
        <f>IF(AH486=0,0,IF(AND(OR('Panel'!$G$5="",D486&gt;='Panel'!$G$5),OR('Panel'!$J$5="",D486&lt;='Panel'!$J$5)),1,0))</f>
        <v>0</v>
      </c>
      <c r="AJ486">
        <f>IF(AI486=1,R486,0)</f>
        <v>0</v>
      </c>
      <c r="AK486" t="str">
        <f>IF(AI486=1,'Panel'!$AB$4+SUM($AJ$5:AJ486),"")</f>
        <v/>
      </c>
      <c r="AL486">
        <f>IF(AI486=0,N(AL485),IF(R486&lt;0,N(AL485)+1,0))</f>
        <v>1</v>
      </c>
      <c r="AM486">
        <f>IF(AI486=0,N(AM485),IF(R486&gt;0,N(AM485)+1,0))</f>
        <v>0</v>
      </c>
      <c r="AN486">
        <f>IF(AI486=1,MAX('Panel'!$AB$4,N(AN485),AK486),N(AN485))</f>
        <v>21371.061500000033</v>
      </c>
      <c r="AO486">
        <f>IF(AI486=1,AN486-AK486,0)</f>
        <v>0</v>
      </c>
      <c r="AP486">
        <f>IF(AND(AI486=1,AN486&gt;0),AO486/AN486,0)</f>
        <v>0</v>
      </c>
      <c r="AQ486" t="str">
        <f>IF(AI486=1,SUM($AI$5:AI486),"")</f>
        <v/>
      </c>
      <c r="AR486" t="str">
        <f>IF(AI486=1,IF(COUNTIFS($D$5:D486,D486,$AI$5:AI486,1)=1,SUMIFS($AJ$5:$AJ$504,$D$5:$D$504,D486),""),"")</f>
        <v/>
      </c>
      <c r="AS486" t="str">
        <f>IF(AG486=1,WEEKDAY(D486,2),"")</f>
        <v/>
      </c>
      <c r="AT486" s="31" t="str">
        <f>IF(AG486=1,DATE(YEAR(D486),MONTH(D486),1),"")</f>
        <v/>
      </c>
      <c r="AU486">
        <f>IF(AG486=0,0,IF(AND(OR('Prop challenge'!$D$7="",F486='Prop challenge'!$D$7),OR('Prop challenge'!$D$9="",D486&gt;='Prop challenge'!$D$9)),1,0))</f>
        <v>0</v>
      </c>
      <c r="AV486">
        <f>IF(AU486=1,IF(COUNTIFS($D$5:D486,D486,$AU$5:AU486,1)=1,1,0),0)</f>
        <v>0</v>
      </c>
      <c r="AW486" t="str">
        <f>IF(AV486=1,SUM($AV$5:AV486),"")</f>
        <v/>
      </c>
      <c r="AX486" t="str">
        <f>IF(AV486=1,SUMIFS($R$5:$R$504,$D$5:$D$504,D486,$AU$5:$AU$504,1),"")</f>
        <v/>
      </c>
    </row>
    <row r="487">
      <c r="A487" s="20" t="str">
        <f>IF(AG487=1,ROW()-4,"")</f>
        <v/>
      </c>
      <c r="B487" s="21" t="n"/>
      <c r="C487" s="22" t="n"/>
      <c r="D487" s="21" t="n"/>
      <c r="E487" s="22" t="n"/>
      <c r="F487" s="23" t="n"/>
      <c r="G487" s="23" t="n"/>
      <c r="H487" s="23" t="n"/>
      <c r="I487" s="24" t="n"/>
      <c r="J487" s="25" t="n"/>
      <c r="K487" s="25" t="n"/>
      <c r="L487" s="25" t="n"/>
      <c r="M487" s="25" t="n"/>
      <c r="N487" s="26" t="n"/>
      <c r="O487" s="26" t="n"/>
      <c r="P487" s="27" t="str">
        <f>IF(OR(J487="",K487="",I487="",AF487=0,AD487=""),"",(K487-J487)*AF487*I487*AD487*AE487)</f>
        <v/>
      </c>
      <c r="Q487" s="26" t="n"/>
      <c r="R487" s="28" t="str">
        <f>IF(Q487&lt;&gt;"",Q487,IF(P487="","",P487-N(N487)+N(O487)))</f>
        <v/>
      </c>
      <c r="S487" s="27" t="str">
        <f>IF(OR(L487="",J487="",I487="",AD487=""),"",ABS(J487-L487)*I487*AD487*AE487)</f>
        <v/>
      </c>
      <c r="T487" s="29" t="str">
        <f>IF(OR(R487="",S487="",S487=0),"",R487/S487)</f>
        <v/>
      </c>
      <c r="U487" s="20" t="str">
        <f>IF(R487="","",IF(R487&gt;0,"Ganadora",IF(R487&lt;0,"Perdedora","BE")))</f>
        <v/>
      </c>
      <c r="V487" s="23" t="n"/>
      <c r="W487" s="23" t="n"/>
      <c r="X487" s="23" t="n"/>
      <c r="Y487" s="23" t="n"/>
      <c r="Z487" s="23" t="n"/>
      <c r="AA487" s="23" t="n"/>
      <c r="AB487" s="30" t="n"/>
      <c r="AC487" s="1" t="n"/>
      <c r="AD487" s="1" t="str">
        <f>IF(G487="","",IFERROR(INDEX('Listas'!$N$6:$N$35,MATCH(G487,'Listas'!$M$6:$M$35,0)),""))</f>
        <v/>
      </c>
      <c r="AE487">
        <f>IF(G487="",1,IFERROR(INDEX('Listas'!$P$6:$P$35,MATCH(G487,'Listas'!$M$6:$M$35,0)),1))</f>
        <v>1</v>
      </c>
      <c r="AF487">
        <f>IF(H487="Compra",1,IF(H487="Venta",-1,0))</f>
        <v>0</v>
      </c>
      <c r="AG487">
        <f>IF(AND(D487&lt;&gt;"",ISNUMBER(R487)),1,0)</f>
        <v>0</v>
      </c>
      <c r="AH487">
        <f>IF(AG487=0,0,IF(OR('Panel'!$D$5="Todas las cuentas",'Panel'!$D$5="",F487='Panel'!$D$5),1,0))</f>
        <v>0</v>
      </c>
      <c r="AI487">
        <f>IF(AH487=0,0,IF(AND(OR('Panel'!$G$5="",D487&gt;='Panel'!$G$5),OR('Panel'!$J$5="",D487&lt;='Panel'!$J$5)),1,0))</f>
        <v>0</v>
      </c>
      <c r="AJ487">
        <f>IF(AI487=1,R487,0)</f>
        <v>0</v>
      </c>
      <c r="AK487" t="str">
        <f>IF(AI487=1,'Panel'!$AB$4+SUM($AJ$5:AJ487),"")</f>
        <v/>
      </c>
      <c r="AL487">
        <f>IF(AI487=0,N(AL486),IF(R487&lt;0,N(AL486)+1,0))</f>
        <v>1</v>
      </c>
      <c r="AM487">
        <f>IF(AI487=0,N(AM486),IF(R487&gt;0,N(AM486)+1,0))</f>
        <v>0</v>
      </c>
      <c r="AN487">
        <f>IF(AI487=1,MAX('Panel'!$AB$4,N(AN486),AK487),N(AN486))</f>
        <v>21371.061500000033</v>
      </c>
      <c r="AO487">
        <f>IF(AI487=1,AN487-AK487,0)</f>
        <v>0</v>
      </c>
      <c r="AP487">
        <f>IF(AND(AI487=1,AN487&gt;0),AO487/AN487,0)</f>
        <v>0</v>
      </c>
      <c r="AQ487" t="str">
        <f>IF(AI487=1,SUM($AI$5:AI487),"")</f>
        <v/>
      </c>
      <c r="AR487" t="str">
        <f>IF(AI487=1,IF(COUNTIFS($D$5:D487,D487,$AI$5:AI487,1)=1,SUMIFS($AJ$5:$AJ$504,$D$5:$D$504,D487),""),"")</f>
        <v/>
      </c>
      <c r="AS487" t="str">
        <f>IF(AG487=1,WEEKDAY(D487,2),"")</f>
        <v/>
      </c>
      <c r="AT487" s="31" t="str">
        <f>IF(AG487=1,DATE(YEAR(D487),MONTH(D487),1),"")</f>
        <v/>
      </c>
      <c r="AU487">
        <f>IF(AG487=0,0,IF(AND(OR('Prop challenge'!$D$7="",F487='Prop challenge'!$D$7),OR('Prop challenge'!$D$9="",D487&gt;='Prop challenge'!$D$9)),1,0))</f>
        <v>0</v>
      </c>
      <c r="AV487">
        <f>IF(AU487=1,IF(COUNTIFS($D$5:D487,D487,$AU$5:AU487,1)=1,1,0),0)</f>
        <v>0</v>
      </c>
      <c r="AW487" t="str">
        <f>IF(AV487=1,SUM($AV$5:AV487),"")</f>
        <v/>
      </c>
      <c r="AX487" t="str">
        <f>IF(AV487=1,SUMIFS($R$5:$R$504,$D$5:$D$504,D487,$AU$5:$AU$504,1),"")</f>
        <v/>
      </c>
    </row>
    <row r="488">
      <c r="A488" s="20" t="str">
        <f>IF(AG488=1,ROW()-4,"")</f>
        <v/>
      </c>
      <c r="B488" s="21" t="n"/>
      <c r="C488" s="22" t="n"/>
      <c r="D488" s="21" t="n"/>
      <c r="E488" s="22" t="n"/>
      <c r="F488" s="23" t="n"/>
      <c r="G488" s="23" t="n"/>
      <c r="H488" s="23" t="n"/>
      <c r="I488" s="24" t="n"/>
      <c r="J488" s="25" t="n"/>
      <c r="K488" s="25" t="n"/>
      <c r="L488" s="25" t="n"/>
      <c r="M488" s="25" t="n"/>
      <c r="N488" s="26" t="n"/>
      <c r="O488" s="26" t="n"/>
      <c r="P488" s="27" t="str">
        <f>IF(OR(J488="",K488="",I488="",AF488=0,AD488=""),"",(K488-J488)*AF488*I488*AD488*AE488)</f>
        <v/>
      </c>
      <c r="Q488" s="26" t="n"/>
      <c r="R488" s="28" t="str">
        <f>IF(Q488&lt;&gt;"",Q488,IF(P488="","",P488-N(N488)+N(O488)))</f>
        <v/>
      </c>
      <c r="S488" s="27" t="str">
        <f>IF(OR(L488="",J488="",I488="",AD488=""),"",ABS(J488-L488)*I488*AD488*AE488)</f>
        <v/>
      </c>
      <c r="T488" s="29" t="str">
        <f>IF(OR(R488="",S488="",S488=0),"",R488/S488)</f>
        <v/>
      </c>
      <c r="U488" s="20" t="str">
        <f>IF(R488="","",IF(R488&gt;0,"Ganadora",IF(R488&lt;0,"Perdedora","BE")))</f>
        <v/>
      </c>
      <c r="V488" s="23" t="n"/>
      <c r="W488" s="23" t="n"/>
      <c r="X488" s="23" t="n"/>
      <c r="Y488" s="23" t="n"/>
      <c r="Z488" s="23" t="n"/>
      <c r="AA488" s="23" t="n"/>
      <c r="AB488" s="30" t="n"/>
      <c r="AC488" s="1" t="n"/>
      <c r="AD488" s="1" t="str">
        <f>IF(G488="","",IFERROR(INDEX('Listas'!$N$6:$N$35,MATCH(G488,'Listas'!$M$6:$M$35,0)),""))</f>
        <v/>
      </c>
      <c r="AE488">
        <f>IF(G488="",1,IFERROR(INDEX('Listas'!$P$6:$P$35,MATCH(G488,'Listas'!$M$6:$M$35,0)),1))</f>
        <v>1</v>
      </c>
      <c r="AF488">
        <f>IF(H488="Compra",1,IF(H488="Venta",-1,0))</f>
        <v>0</v>
      </c>
      <c r="AG488">
        <f>IF(AND(D488&lt;&gt;"",ISNUMBER(R488)),1,0)</f>
        <v>0</v>
      </c>
      <c r="AH488">
        <f>IF(AG488=0,0,IF(OR('Panel'!$D$5="Todas las cuentas",'Panel'!$D$5="",F488='Panel'!$D$5),1,0))</f>
        <v>0</v>
      </c>
      <c r="AI488">
        <f>IF(AH488=0,0,IF(AND(OR('Panel'!$G$5="",D488&gt;='Panel'!$G$5),OR('Panel'!$J$5="",D488&lt;='Panel'!$J$5)),1,0))</f>
        <v>0</v>
      </c>
      <c r="AJ488">
        <f>IF(AI488=1,R488,0)</f>
        <v>0</v>
      </c>
      <c r="AK488" t="str">
        <f>IF(AI488=1,'Panel'!$AB$4+SUM($AJ$5:AJ488),"")</f>
        <v/>
      </c>
      <c r="AL488">
        <f>IF(AI488=0,N(AL487),IF(R488&lt;0,N(AL487)+1,0))</f>
        <v>1</v>
      </c>
      <c r="AM488">
        <f>IF(AI488=0,N(AM487),IF(R488&gt;0,N(AM487)+1,0))</f>
        <v>0</v>
      </c>
      <c r="AN488">
        <f>IF(AI488=1,MAX('Panel'!$AB$4,N(AN487),AK488),N(AN487))</f>
        <v>21371.061500000033</v>
      </c>
      <c r="AO488">
        <f>IF(AI488=1,AN488-AK488,0)</f>
        <v>0</v>
      </c>
      <c r="AP488">
        <f>IF(AND(AI488=1,AN488&gt;0),AO488/AN488,0)</f>
        <v>0</v>
      </c>
      <c r="AQ488" t="str">
        <f>IF(AI488=1,SUM($AI$5:AI488),"")</f>
        <v/>
      </c>
      <c r="AR488" t="str">
        <f>IF(AI488=1,IF(COUNTIFS($D$5:D488,D488,$AI$5:AI488,1)=1,SUMIFS($AJ$5:$AJ$504,$D$5:$D$504,D488),""),"")</f>
        <v/>
      </c>
      <c r="AS488" t="str">
        <f>IF(AG488=1,WEEKDAY(D488,2),"")</f>
        <v/>
      </c>
      <c r="AT488" s="31" t="str">
        <f>IF(AG488=1,DATE(YEAR(D488),MONTH(D488),1),"")</f>
        <v/>
      </c>
      <c r="AU488">
        <f>IF(AG488=0,0,IF(AND(OR('Prop challenge'!$D$7="",F488='Prop challenge'!$D$7),OR('Prop challenge'!$D$9="",D488&gt;='Prop challenge'!$D$9)),1,0))</f>
        <v>0</v>
      </c>
      <c r="AV488">
        <f>IF(AU488=1,IF(COUNTIFS($D$5:D488,D488,$AU$5:AU488,1)=1,1,0),0)</f>
        <v>0</v>
      </c>
      <c r="AW488" t="str">
        <f>IF(AV488=1,SUM($AV$5:AV488),"")</f>
        <v/>
      </c>
      <c r="AX488" t="str">
        <f>IF(AV488=1,SUMIFS($R$5:$R$504,$D$5:$D$504,D488,$AU$5:$AU$504,1),"")</f>
        <v/>
      </c>
    </row>
    <row r="489">
      <c r="A489" s="20" t="str">
        <f>IF(AG489=1,ROW()-4,"")</f>
        <v/>
      </c>
      <c r="B489" s="21" t="n"/>
      <c r="C489" s="22" t="n"/>
      <c r="D489" s="21" t="n"/>
      <c r="E489" s="22" t="n"/>
      <c r="F489" s="23" t="n"/>
      <c r="G489" s="23" t="n"/>
      <c r="H489" s="23" t="n"/>
      <c r="I489" s="24" t="n"/>
      <c r="J489" s="25" t="n"/>
      <c r="K489" s="25" t="n"/>
      <c r="L489" s="25" t="n"/>
      <c r="M489" s="25" t="n"/>
      <c r="N489" s="26" t="n"/>
      <c r="O489" s="26" t="n"/>
      <c r="P489" s="27" t="str">
        <f>IF(OR(J489="",K489="",I489="",AF489=0,AD489=""),"",(K489-J489)*AF489*I489*AD489*AE489)</f>
        <v/>
      </c>
      <c r="Q489" s="26" t="n"/>
      <c r="R489" s="28" t="str">
        <f>IF(Q489&lt;&gt;"",Q489,IF(P489="","",P489-N(N489)+N(O489)))</f>
        <v/>
      </c>
      <c r="S489" s="27" t="str">
        <f>IF(OR(L489="",J489="",I489="",AD489=""),"",ABS(J489-L489)*I489*AD489*AE489)</f>
        <v/>
      </c>
      <c r="T489" s="29" t="str">
        <f>IF(OR(R489="",S489="",S489=0),"",R489/S489)</f>
        <v/>
      </c>
      <c r="U489" s="20" t="str">
        <f>IF(R489="","",IF(R489&gt;0,"Ganadora",IF(R489&lt;0,"Perdedora","BE")))</f>
        <v/>
      </c>
      <c r="V489" s="23" t="n"/>
      <c r="W489" s="23" t="n"/>
      <c r="X489" s="23" t="n"/>
      <c r="Y489" s="23" t="n"/>
      <c r="Z489" s="23" t="n"/>
      <c r="AA489" s="23" t="n"/>
      <c r="AB489" s="30" t="n"/>
      <c r="AC489" s="1" t="n"/>
      <c r="AD489" s="1" t="str">
        <f>IF(G489="","",IFERROR(INDEX('Listas'!$N$6:$N$35,MATCH(G489,'Listas'!$M$6:$M$35,0)),""))</f>
        <v/>
      </c>
      <c r="AE489">
        <f>IF(G489="",1,IFERROR(INDEX('Listas'!$P$6:$P$35,MATCH(G489,'Listas'!$M$6:$M$35,0)),1))</f>
        <v>1</v>
      </c>
      <c r="AF489">
        <f>IF(H489="Compra",1,IF(H489="Venta",-1,0))</f>
        <v>0</v>
      </c>
      <c r="AG489">
        <f>IF(AND(D489&lt;&gt;"",ISNUMBER(R489)),1,0)</f>
        <v>0</v>
      </c>
      <c r="AH489">
        <f>IF(AG489=0,0,IF(OR('Panel'!$D$5="Todas las cuentas",'Panel'!$D$5="",F489='Panel'!$D$5),1,0))</f>
        <v>0</v>
      </c>
      <c r="AI489">
        <f>IF(AH489=0,0,IF(AND(OR('Panel'!$G$5="",D489&gt;='Panel'!$G$5),OR('Panel'!$J$5="",D489&lt;='Panel'!$J$5)),1,0))</f>
        <v>0</v>
      </c>
      <c r="AJ489">
        <f>IF(AI489=1,R489,0)</f>
        <v>0</v>
      </c>
      <c r="AK489" t="str">
        <f>IF(AI489=1,'Panel'!$AB$4+SUM($AJ$5:AJ489),"")</f>
        <v/>
      </c>
      <c r="AL489">
        <f>IF(AI489=0,N(AL488),IF(R489&lt;0,N(AL488)+1,0))</f>
        <v>1</v>
      </c>
      <c r="AM489">
        <f>IF(AI489=0,N(AM488),IF(R489&gt;0,N(AM488)+1,0))</f>
        <v>0</v>
      </c>
      <c r="AN489">
        <f>IF(AI489=1,MAX('Panel'!$AB$4,N(AN488),AK489),N(AN488))</f>
        <v>21371.061500000033</v>
      </c>
      <c r="AO489">
        <f>IF(AI489=1,AN489-AK489,0)</f>
        <v>0</v>
      </c>
      <c r="AP489">
        <f>IF(AND(AI489=1,AN489&gt;0),AO489/AN489,0)</f>
        <v>0</v>
      </c>
      <c r="AQ489" t="str">
        <f>IF(AI489=1,SUM($AI$5:AI489),"")</f>
        <v/>
      </c>
      <c r="AR489" t="str">
        <f>IF(AI489=1,IF(COUNTIFS($D$5:D489,D489,$AI$5:AI489,1)=1,SUMIFS($AJ$5:$AJ$504,$D$5:$D$504,D489),""),"")</f>
        <v/>
      </c>
      <c r="AS489" t="str">
        <f>IF(AG489=1,WEEKDAY(D489,2),"")</f>
        <v/>
      </c>
      <c r="AT489" s="31" t="str">
        <f>IF(AG489=1,DATE(YEAR(D489),MONTH(D489),1),"")</f>
        <v/>
      </c>
      <c r="AU489">
        <f>IF(AG489=0,0,IF(AND(OR('Prop challenge'!$D$7="",F489='Prop challenge'!$D$7),OR('Prop challenge'!$D$9="",D489&gt;='Prop challenge'!$D$9)),1,0))</f>
        <v>0</v>
      </c>
      <c r="AV489">
        <f>IF(AU489=1,IF(COUNTIFS($D$5:D489,D489,$AU$5:AU489,1)=1,1,0),0)</f>
        <v>0</v>
      </c>
      <c r="AW489" t="str">
        <f>IF(AV489=1,SUM($AV$5:AV489),"")</f>
        <v/>
      </c>
      <c r="AX489" t="str">
        <f>IF(AV489=1,SUMIFS($R$5:$R$504,$D$5:$D$504,D489,$AU$5:$AU$504,1),"")</f>
        <v/>
      </c>
    </row>
    <row r="490">
      <c r="A490" s="20" t="str">
        <f>IF(AG490=1,ROW()-4,"")</f>
        <v/>
      </c>
      <c r="B490" s="21" t="n"/>
      <c r="C490" s="22" t="n"/>
      <c r="D490" s="21" t="n"/>
      <c r="E490" s="22" t="n"/>
      <c r="F490" s="23" t="n"/>
      <c r="G490" s="23" t="n"/>
      <c r="H490" s="23" t="n"/>
      <c r="I490" s="24" t="n"/>
      <c r="J490" s="25" t="n"/>
      <c r="K490" s="25" t="n"/>
      <c r="L490" s="25" t="n"/>
      <c r="M490" s="25" t="n"/>
      <c r="N490" s="26" t="n"/>
      <c r="O490" s="26" t="n"/>
      <c r="P490" s="27" t="str">
        <f>IF(OR(J490="",K490="",I490="",AF490=0,AD490=""),"",(K490-J490)*AF490*I490*AD490*AE490)</f>
        <v/>
      </c>
      <c r="Q490" s="26" t="n"/>
      <c r="R490" s="28" t="str">
        <f>IF(Q490&lt;&gt;"",Q490,IF(P490="","",P490-N(N490)+N(O490)))</f>
        <v/>
      </c>
      <c r="S490" s="27" t="str">
        <f>IF(OR(L490="",J490="",I490="",AD490=""),"",ABS(J490-L490)*I490*AD490*AE490)</f>
        <v/>
      </c>
      <c r="T490" s="29" t="str">
        <f>IF(OR(R490="",S490="",S490=0),"",R490/S490)</f>
        <v/>
      </c>
      <c r="U490" s="20" t="str">
        <f>IF(R490="","",IF(R490&gt;0,"Ganadora",IF(R490&lt;0,"Perdedora","BE")))</f>
        <v/>
      </c>
      <c r="V490" s="23" t="n"/>
      <c r="W490" s="23" t="n"/>
      <c r="X490" s="23" t="n"/>
      <c r="Y490" s="23" t="n"/>
      <c r="Z490" s="23" t="n"/>
      <c r="AA490" s="23" t="n"/>
      <c r="AB490" s="30" t="n"/>
      <c r="AC490" s="1" t="n"/>
      <c r="AD490" s="1" t="str">
        <f>IF(G490="","",IFERROR(INDEX('Listas'!$N$6:$N$35,MATCH(G490,'Listas'!$M$6:$M$35,0)),""))</f>
        <v/>
      </c>
      <c r="AE490">
        <f>IF(G490="",1,IFERROR(INDEX('Listas'!$P$6:$P$35,MATCH(G490,'Listas'!$M$6:$M$35,0)),1))</f>
        <v>1</v>
      </c>
      <c r="AF490">
        <f>IF(H490="Compra",1,IF(H490="Venta",-1,0))</f>
        <v>0</v>
      </c>
      <c r="AG490">
        <f>IF(AND(D490&lt;&gt;"",ISNUMBER(R490)),1,0)</f>
        <v>0</v>
      </c>
      <c r="AH490">
        <f>IF(AG490=0,0,IF(OR('Panel'!$D$5="Todas las cuentas",'Panel'!$D$5="",F490='Panel'!$D$5),1,0))</f>
        <v>0</v>
      </c>
      <c r="AI490">
        <f>IF(AH490=0,0,IF(AND(OR('Panel'!$G$5="",D490&gt;='Panel'!$G$5),OR('Panel'!$J$5="",D490&lt;='Panel'!$J$5)),1,0))</f>
        <v>0</v>
      </c>
      <c r="AJ490">
        <f>IF(AI490=1,R490,0)</f>
        <v>0</v>
      </c>
      <c r="AK490" t="str">
        <f>IF(AI490=1,'Panel'!$AB$4+SUM($AJ$5:AJ490),"")</f>
        <v/>
      </c>
      <c r="AL490">
        <f>IF(AI490=0,N(AL489),IF(R490&lt;0,N(AL489)+1,0))</f>
        <v>1</v>
      </c>
      <c r="AM490">
        <f>IF(AI490=0,N(AM489),IF(R490&gt;0,N(AM489)+1,0))</f>
        <v>0</v>
      </c>
      <c r="AN490">
        <f>IF(AI490=1,MAX('Panel'!$AB$4,N(AN489),AK490),N(AN489))</f>
        <v>21371.061500000033</v>
      </c>
      <c r="AO490">
        <f>IF(AI490=1,AN490-AK490,0)</f>
        <v>0</v>
      </c>
      <c r="AP490">
        <f>IF(AND(AI490=1,AN490&gt;0),AO490/AN490,0)</f>
        <v>0</v>
      </c>
      <c r="AQ490" t="str">
        <f>IF(AI490=1,SUM($AI$5:AI490),"")</f>
        <v/>
      </c>
      <c r="AR490" t="str">
        <f>IF(AI490=1,IF(COUNTIFS($D$5:D490,D490,$AI$5:AI490,1)=1,SUMIFS($AJ$5:$AJ$504,$D$5:$D$504,D490),""),"")</f>
        <v/>
      </c>
      <c r="AS490" t="str">
        <f>IF(AG490=1,WEEKDAY(D490,2),"")</f>
        <v/>
      </c>
      <c r="AT490" s="31" t="str">
        <f>IF(AG490=1,DATE(YEAR(D490),MONTH(D490),1),"")</f>
        <v/>
      </c>
      <c r="AU490">
        <f>IF(AG490=0,0,IF(AND(OR('Prop challenge'!$D$7="",F490='Prop challenge'!$D$7),OR('Prop challenge'!$D$9="",D490&gt;='Prop challenge'!$D$9)),1,0))</f>
        <v>0</v>
      </c>
      <c r="AV490">
        <f>IF(AU490=1,IF(COUNTIFS($D$5:D490,D490,$AU$5:AU490,1)=1,1,0),0)</f>
        <v>0</v>
      </c>
      <c r="AW490" t="str">
        <f>IF(AV490=1,SUM($AV$5:AV490),"")</f>
        <v/>
      </c>
      <c r="AX490" t="str">
        <f>IF(AV490=1,SUMIFS($R$5:$R$504,$D$5:$D$504,D490,$AU$5:$AU$504,1),"")</f>
        <v/>
      </c>
    </row>
    <row r="491">
      <c r="A491" s="20" t="str">
        <f>IF(AG491=1,ROW()-4,"")</f>
        <v/>
      </c>
      <c r="B491" s="21" t="n"/>
      <c r="C491" s="22" t="n"/>
      <c r="D491" s="21" t="n"/>
      <c r="E491" s="22" t="n"/>
      <c r="F491" s="23" t="n"/>
      <c r="G491" s="23" t="n"/>
      <c r="H491" s="23" t="n"/>
      <c r="I491" s="24" t="n"/>
      <c r="J491" s="25" t="n"/>
      <c r="K491" s="25" t="n"/>
      <c r="L491" s="25" t="n"/>
      <c r="M491" s="25" t="n"/>
      <c r="N491" s="26" t="n"/>
      <c r="O491" s="26" t="n"/>
      <c r="P491" s="27" t="str">
        <f>IF(OR(J491="",K491="",I491="",AF491=0,AD491=""),"",(K491-J491)*AF491*I491*AD491*AE491)</f>
        <v/>
      </c>
      <c r="Q491" s="26" t="n"/>
      <c r="R491" s="28" t="str">
        <f>IF(Q491&lt;&gt;"",Q491,IF(P491="","",P491-N(N491)+N(O491)))</f>
        <v/>
      </c>
      <c r="S491" s="27" t="str">
        <f>IF(OR(L491="",J491="",I491="",AD491=""),"",ABS(J491-L491)*I491*AD491*AE491)</f>
        <v/>
      </c>
      <c r="T491" s="29" t="str">
        <f>IF(OR(R491="",S491="",S491=0),"",R491/S491)</f>
        <v/>
      </c>
      <c r="U491" s="20" t="str">
        <f>IF(R491="","",IF(R491&gt;0,"Ganadora",IF(R491&lt;0,"Perdedora","BE")))</f>
        <v/>
      </c>
      <c r="V491" s="23" t="n"/>
      <c r="W491" s="23" t="n"/>
      <c r="X491" s="23" t="n"/>
      <c r="Y491" s="23" t="n"/>
      <c r="Z491" s="23" t="n"/>
      <c r="AA491" s="23" t="n"/>
      <c r="AB491" s="30" t="n"/>
      <c r="AC491" s="1" t="n"/>
      <c r="AD491" s="1" t="str">
        <f>IF(G491="","",IFERROR(INDEX('Listas'!$N$6:$N$35,MATCH(G491,'Listas'!$M$6:$M$35,0)),""))</f>
        <v/>
      </c>
      <c r="AE491">
        <f>IF(G491="",1,IFERROR(INDEX('Listas'!$P$6:$P$35,MATCH(G491,'Listas'!$M$6:$M$35,0)),1))</f>
        <v>1</v>
      </c>
      <c r="AF491">
        <f>IF(H491="Compra",1,IF(H491="Venta",-1,0))</f>
        <v>0</v>
      </c>
      <c r="AG491">
        <f>IF(AND(D491&lt;&gt;"",ISNUMBER(R491)),1,0)</f>
        <v>0</v>
      </c>
      <c r="AH491">
        <f>IF(AG491=0,0,IF(OR('Panel'!$D$5="Todas las cuentas",'Panel'!$D$5="",F491='Panel'!$D$5),1,0))</f>
        <v>0</v>
      </c>
      <c r="AI491">
        <f>IF(AH491=0,0,IF(AND(OR('Panel'!$G$5="",D491&gt;='Panel'!$G$5),OR('Panel'!$J$5="",D491&lt;='Panel'!$J$5)),1,0))</f>
        <v>0</v>
      </c>
      <c r="AJ491">
        <f>IF(AI491=1,R491,0)</f>
        <v>0</v>
      </c>
      <c r="AK491" t="str">
        <f>IF(AI491=1,'Panel'!$AB$4+SUM($AJ$5:AJ491),"")</f>
        <v/>
      </c>
      <c r="AL491">
        <f>IF(AI491=0,N(AL490),IF(R491&lt;0,N(AL490)+1,0))</f>
        <v>1</v>
      </c>
      <c r="AM491">
        <f>IF(AI491=0,N(AM490),IF(R491&gt;0,N(AM490)+1,0))</f>
        <v>0</v>
      </c>
      <c r="AN491">
        <f>IF(AI491=1,MAX('Panel'!$AB$4,N(AN490),AK491),N(AN490))</f>
        <v>21371.061500000033</v>
      </c>
      <c r="AO491">
        <f>IF(AI491=1,AN491-AK491,0)</f>
        <v>0</v>
      </c>
      <c r="AP491">
        <f>IF(AND(AI491=1,AN491&gt;0),AO491/AN491,0)</f>
        <v>0</v>
      </c>
      <c r="AQ491" t="str">
        <f>IF(AI491=1,SUM($AI$5:AI491),"")</f>
        <v/>
      </c>
      <c r="AR491" t="str">
        <f>IF(AI491=1,IF(COUNTIFS($D$5:D491,D491,$AI$5:AI491,1)=1,SUMIFS($AJ$5:$AJ$504,$D$5:$D$504,D491),""),"")</f>
        <v/>
      </c>
      <c r="AS491" t="str">
        <f>IF(AG491=1,WEEKDAY(D491,2),"")</f>
        <v/>
      </c>
      <c r="AT491" s="31" t="str">
        <f>IF(AG491=1,DATE(YEAR(D491),MONTH(D491),1),"")</f>
        <v/>
      </c>
      <c r="AU491">
        <f>IF(AG491=0,0,IF(AND(OR('Prop challenge'!$D$7="",F491='Prop challenge'!$D$7),OR('Prop challenge'!$D$9="",D491&gt;='Prop challenge'!$D$9)),1,0))</f>
        <v>0</v>
      </c>
      <c r="AV491">
        <f>IF(AU491=1,IF(COUNTIFS($D$5:D491,D491,$AU$5:AU491,1)=1,1,0),0)</f>
        <v>0</v>
      </c>
      <c r="AW491" t="str">
        <f>IF(AV491=1,SUM($AV$5:AV491),"")</f>
        <v/>
      </c>
      <c r="AX491" t="str">
        <f>IF(AV491=1,SUMIFS($R$5:$R$504,$D$5:$D$504,D491,$AU$5:$AU$504,1),"")</f>
        <v/>
      </c>
    </row>
    <row r="492">
      <c r="A492" s="20" t="str">
        <f>IF(AG492=1,ROW()-4,"")</f>
        <v/>
      </c>
      <c r="B492" s="21" t="n"/>
      <c r="C492" s="22" t="n"/>
      <c r="D492" s="21" t="n"/>
      <c r="E492" s="22" t="n"/>
      <c r="F492" s="23" t="n"/>
      <c r="G492" s="23" t="n"/>
      <c r="H492" s="23" t="n"/>
      <c r="I492" s="24" t="n"/>
      <c r="J492" s="25" t="n"/>
      <c r="K492" s="25" t="n"/>
      <c r="L492" s="25" t="n"/>
      <c r="M492" s="25" t="n"/>
      <c r="N492" s="26" t="n"/>
      <c r="O492" s="26" t="n"/>
      <c r="P492" s="27" t="str">
        <f>IF(OR(J492="",K492="",I492="",AF492=0,AD492=""),"",(K492-J492)*AF492*I492*AD492*AE492)</f>
        <v/>
      </c>
      <c r="Q492" s="26" t="n"/>
      <c r="R492" s="28" t="str">
        <f>IF(Q492&lt;&gt;"",Q492,IF(P492="","",P492-N(N492)+N(O492)))</f>
        <v/>
      </c>
      <c r="S492" s="27" t="str">
        <f>IF(OR(L492="",J492="",I492="",AD492=""),"",ABS(J492-L492)*I492*AD492*AE492)</f>
        <v/>
      </c>
      <c r="T492" s="29" t="str">
        <f>IF(OR(R492="",S492="",S492=0),"",R492/S492)</f>
        <v/>
      </c>
      <c r="U492" s="20" t="str">
        <f>IF(R492="","",IF(R492&gt;0,"Ganadora",IF(R492&lt;0,"Perdedora","BE")))</f>
        <v/>
      </c>
      <c r="V492" s="23" t="n"/>
      <c r="W492" s="23" t="n"/>
      <c r="X492" s="23" t="n"/>
      <c r="Y492" s="23" t="n"/>
      <c r="Z492" s="23" t="n"/>
      <c r="AA492" s="23" t="n"/>
      <c r="AB492" s="30" t="n"/>
      <c r="AC492" s="1" t="n"/>
      <c r="AD492" s="1" t="str">
        <f>IF(G492="","",IFERROR(INDEX('Listas'!$N$6:$N$35,MATCH(G492,'Listas'!$M$6:$M$35,0)),""))</f>
        <v/>
      </c>
      <c r="AE492">
        <f>IF(G492="",1,IFERROR(INDEX('Listas'!$P$6:$P$35,MATCH(G492,'Listas'!$M$6:$M$35,0)),1))</f>
        <v>1</v>
      </c>
      <c r="AF492">
        <f>IF(H492="Compra",1,IF(H492="Venta",-1,0))</f>
        <v>0</v>
      </c>
      <c r="AG492">
        <f>IF(AND(D492&lt;&gt;"",ISNUMBER(R492)),1,0)</f>
        <v>0</v>
      </c>
      <c r="AH492">
        <f>IF(AG492=0,0,IF(OR('Panel'!$D$5="Todas las cuentas",'Panel'!$D$5="",F492='Panel'!$D$5),1,0))</f>
        <v>0</v>
      </c>
      <c r="AI492">
        <f>IF(AH492=0,0,IF(AND(OR('Panel'!$G$5="",D492&gt;='Panel'!$G$5),OR('Panel'!$J$5="",D492&lt;='Panel'!$J$5)),1,0))</f>
        <v>0</v>
      </c>
      <c r="AJ492">
        <f>IF(AI492=1,R492,0)</f>
        <v>0</v>
      </c>
      <c r="AK492" t="str">
        <f>IF(AI492=1,'Panel'!$AB$4+SUM($AJ$5:AJ492),"")</f>
        <v/>
      </c>
      <c r="AL492">
        <f>IF(AI492=0,N(AL491),IF(R492&lt;0,N(AL491)+1,0))</f>
        <v>1</v>
      </c>
      <c r="AM492">
        <f>IF(AI492=0,N(AM491),IF(R492&gt;0,N(AM491)+1,0))</f>
        <v>0</v>
      </c>
      <c r="AN492">
        <f>IF(AI492=1,MAX('Panel'!$AB$4,N(AN491),AK492),N(AN491))</f>
        <v>21371.061500000033</v>
      </c>
      <c r="AO492">
        <f>IF(AI492=1,AN492-AK492,0)</f>
        <v>0</v>
      </c>
      <c r="AP492">
        <f>IF(AND(AI492=1,AN492&gt;0),AO492/AN492,0)</f>
        <v>0</v>
      </c>
      <c r="AQ492" t="str">
        <f>IF(AI492=1,SUM($AI$5:AI492),"")</f>
        <v/>
      </c>
      <c r="AR492" t="str">
        <f>IF(AI492=1,IF(COUNTIFS($D$5:D492,D492,$AI$5:AI492,1)=1,SUMIFS($AJ$5:$AJ$504,$D$5:$D$504,D492),""),"")</f>
        <v/>
      </c>
      <c r="AS492" t="str">
        <f>IF(AG492=1,WEEKDAY(D492,2),"")</f>
        <v/>
      </c>
      <c r="AT492" s="31" t="str">
        <f>IF(AG492=1,DATE(YEAR(D492),MONTH(D492),1),"")</f>
        <v/>
      </c>
      <c r="AU492">
        <f>IF(AG492=0,0,IF(AND(OR('Prop challenge'!$D$7="",F492='Prop challenge'!$D$7),OR('Prop challenge'!$D$9="",D492&gt;='Prop challenge'!$D$9)),1,0))</f>
        <v>0</v>
      </c>
      <c r="AV492">
        <f>IF(AU492=1,IF(COUNTIFS($D$5:D492,D492,$AU$5:AU492,1)=1,1,0),0)</f>
        <v>0</v>
      </c>
      <c r="AW492" t="str">
        <f>IF(AV492=1,SUM($AV$5:AV492),"")</f>
        <v/>
      </c>
      <c r="AX492" t="str">
        <f>IF(AV492=1,SUMIFS($R$5:$R$504,$D$5:$D$504,D492,$AU$5:$AU$504,1),"")</f>
        <v/>
      </c>
    </row>
    <row r="493">
      <c r="A493" s="20" t="str">
        <f>IF(AG493=1,ROW()-4,"")</f>
        <v/>
      </c>
      <c r="B493" s="21" t="n"/>
      <c r="C493" s="22" t="n"/>
      <c r="D493" s="21" t="n"/>
      <c r="E493" s="22" t="n"/>
      <c r="F493" s="23" t="n"/>
      <c r="G493" s="23" t="n"/>
      <c r="H493" s="23" t="n"/>
      <c r="I493" s="24" t="n"/>
      <c r="J493" s="25" t="n"/>
      <c r="K493" s="25" t="n"/>
      <c r="L493" s="25" t="n"/>
      <c r="M493" s="25" t="n"/>
      <c r="N493" s="26" t="n"/>
      <c r="O493" s="26" t="n"/>
      <c r="P493" s="27" t="str">
        <f>IF(OR(J493="",K493="",I493="",AF493=0,AD493=""),"",(K493-J493)*AF493*I493*AD493*AE493)</f>
        <v/>
      </c>
      <c r="Q493" s="26" t="n"/>
      <c r="R493" s="28" t="str">
        <f>IF(Q493&lt;&gt;"",Q493,IF(P493="","",P493-N(N493)+N(O493)))</f>
        <v/>
      </c>
      <c r="S493" s="27" t="str">
        <f>IF(OR(L493="",J493="",I493="",AD493=""),"",ABS(J493-L493)*I493*AD493*AE493)</f>
        <v/>
      </c>
      <c r="T493" s="29" t="str">
        <f>IF(OR(R493="",S493="",S493=0),"",R493/S493)</f>
        <v/>
      </c>
      <c r="U493" s="20" t="str">
        <f>IF(R493="","",IF(R493&gt;0,"Ganadora",IF(R493&lt;0,"Perdedora","BE")))</f>
        <v/>
      </c>
      <c r="V493" s="23" t="n"/>
      <c r="W493" s="23" t="n"/>
      <c r="X493" s="23" t="n"/>
      <c r="Y493" s="23" t="n"/>
      <c r="Z493" s="23" t="n"/>
      <c r="AA493" s="23" t="n"/>
      <c r="AB493" s="30" t="n"/>
      <c r="AC493" s="1" t="n"/>
      <c r="AD493" s="1" t="str">
        <f>IF(G493="","",IFERROR(INDEX('Listas'!$N$6:$N$35,MATCH(G493,'Listas'!$M$6:$M$35,0)),""))</f>
        <v/>
      </c>
      <c r="AE493">
        <f>IF(G493="",1,IFERROR(INDEX('Listas'!$P$6:$P$35,MATCH(G493,'Listas'!$M$6:$M$35,0)),1))</f>
        <v>1</v>
      </c>
      <c r="AF493">
        <f>IF(H493="Compra",1,IF(H493="Venta",-1,0))</f>
        <v>0</v>
      </c>
      <c r="AG493">
        <f>IF(AND(D493&lt;&gt;"",ISNUMBER(R493)),1,0)</f>
        <v>0</v>
      </c>
      <c r="AH493">
        <f>IF(AG493=0,0,IF(OR('Panel'!$D$5="Todas las cuentas",'Panel'!$D$5="",F493='Panel'!$D$5),1,0))</f>
        <v>0</v>
      </c>
      <c r="AI493">
        <f>IF(AH493=0,0,IF(AND(OR('Panel'!$G$5="",D493&gt;='Panel'!$G$5),OR('Panel'!$J$5="",D493&lt;='Panel'!$J$5)),1,0))</f>
        <v>0</v>
      </c>
      <c r="AJ493">
        <f>IF(AI493=1,R493,0)</f>
        <v>0</v>
      </c>
      <c r="AK493" t="str">
        <f>IF(AI493=1,'Panel'!$AB$4+SUM($AJ$5:AJ493),"")</f>
        <v/>
      </c>
      <c r="AL493">
        <f>IF(AI493=0,N(AL492),IF(R493&lt;0,N(AL492)+1,0))</f>
        <v>1</v>
      </c>
      <c r="AM493">
        <f>IF(AI493=0,N(AM492),IF(R493&gt;0,N(AM492)+1,0))</f>
        <v>0</v>
      </c>
      <c r="AN493">
        <f>IF(AI493=1,MAX('Panel'!$AB$4,N(AN492),AK493),N(AN492))</f>
        <v>21371.061500000033</v>
      </c>
      <c r="AO493">
        <f>IF(AI493=1,AN493-AK493,0)</f>
        <v>0</v>
      </c>
      <c r="AP493">
        <f>IF(AND(AI493=1,AN493&gt;0),AO493/AN493,0)</f>
        <v>0</v>
      </c>
      <c r="AQ493" t="str">
        <f>IF(AI493=1,SUM($AI$5:AI493),"")</f>
        <v/>
      </c>
      <c r="AR493" t="str">
        <f>IF(AI493=1,IF(COUNTIFS($D$5:D493,D493,$AI$5:AI493,1)=1,SUMIFS($AJ$5:$AJ$504,$D$5:$D$504,D493),""),"")</f>
        <v/>
      </c>
      <c r="AS493" t="str">
        <f>IF(AG493=1,WEEKDAY(D493,2),"")</f>
        <v/>
      </c>
      <c r="AT493" s="31" t="str">
        <f>IF(AG493=1,DATE(YEAR(D493),MONTH(D493),1),"")</f>
        <v/>
      </c>
      <c r="AU493">
        <f>IF(AG493=0,0,IF(AND(OR('Prop challenge'!$D$7="",F493='Prop challenge'!$D$7),OR('Prop challenge'!$D$9="",D493&gt;='Prop challenge'!$D$9)),1,0))</f>
        <v>0</v>
      </c>
      <c r="AV493">
        <f>IF(AU493=1,IF(COUNTIFS($D$5:D493,D493,$AU$5:AU493,1)=1,1,0),0)</f>
        <v>0</v>
      </c>
      <c r="AW493" t="str">
        <f>IF(AV493=1,SUM($AV$5:AV493),"")</f>
        <v/>
      </c>
      <c r="AX493" t="str">
        <f>IF(AV493=1,SUMIFS($R$5:$R$504,$D$5:$D$504,D493,$AU$5:$AU$504,1),"")</f>
        <v/>
      </c>
    </row>
    <row r="494">
      <c r="A494" s="20" t="str">
        <f>IF(AG494=1,ROW()-4,"")</f>
        <v/>
      </c>
      <c r="B494" s="21" t="n"/>
      <c r="C494" s="22" t="n"/>
      <c r="D494" s="21" t="n"/>
      <c r="E494" s="22" t="n"/>
      <c r="F494" s="23" t="n"/>
      <c r="G494" s="23" t="n"/>
      <c r="H494" s="23" t="n"/>
      <c r="I494" s="24" t="n"/>
      <c r="J494" s="25" t="n"/>
      <c r="K494" s="25" t="n"/>
      <c r="L494" s="25" t="n"/>
      <c r="M494" s="25" t="n"/>
      <c r="N494" s="26" t="n"/>
      <c r="O494" s="26" t="n"/>
      <c r="P494" s="27" t="str">
        <f>IF(OR(J494="",K494="",I494="",AF494=0,AD494=""),"",(K494-J494)*AF494*I494*AD494*AE494)</f>
        <v/>
      </c>
      <c r="Q494" s="26" t="n"/>
      <c r="R494" s="28" t="str">
        <f>IF(Q494&lt;&gt;"",Q494,IF(P494="","",P494-N(N494)+N(O494)))</f>
        <v/>
      </c>
      <c r="S494" s="27" t="str">
        <f>IF(OR(L494="",J494="",I494="",AD494=""),"",ABS(J494-L494)*I494*AD494*AE494)</f>
        <v/>
      </c>
      <c r="T494" s="29" t="str">
        <f>IF(OR(R494="",S494="",S494=0),"",R494/S494)</f>
        <v/>
      </c>
      <c r="U494" s="20" t="str">
        <f>IF(R494="","",IF(R494&gt;0,"Ganadora",IF(R494&lt;0,"Perdedora","BE")))</f>
        <v/>
      </c>
      <c r="V494" s="23" t="n"/>
      <c r="W494" s="23" t="n"/>
      <c r="X494" s="23" t="n"/>
      <c r="Y494" s="23" t="n"/>
      <c r="Z494" s="23" t="n"/>
      <c r="AA494" s="23" t="n"/>
      <c r="AB494" s="30" t="n"/>
      <c r="AC494" s="1" t="n"/>
      <c r="AD494" s="1" t="str">
        <f>IF(G494="","",IFERROR(INDEX('Listas'!$N$6:$N$35,MATCH(G494,'Listas'!$M$6:$M$35,0)),""))</f>
        <v/>
      </c>
      <c r="AE494">
        <f>IF(G494="",1,IFERROR(INDEX('Listas'!$P$6:$P$35,MATCH(G494,'Listas'!$M$6:$M$35,0)),1))</f>
        <v>1</v>
      </c>
      <c r="AF494">
        <f>IF(H494="Compra",1,IF(H494="Venta",-1,0))</f>
        <v>0</v>
      </c>
      <c r="AG494">
        <f>IF(AND(D494&lt;&gt;"",ISNUMBER(R494)),1,0)</f>
        <v>0</v>
      </c>
      <c r="AH494">
        <f>IF(AG494=0,0,IF(OR('Panel'!$D$5="Todas las cuentas",'Panel'!$D$5="",F494='Panel'!$D$5),1,0))</f>
        <v>0</v>
      </c>
      <c r="AI494">
        <f>IF(AH494=0,0,IF(AND(OR('Panel'!$G$5="",D494&gt;='Panel'!$G$5),OR('Panel'!$J$5="",D494&lt;='Panel'!$J$5)),1,0))</f>
        <v>0</v>
      </c>
      <c r="AJ494">
        <f>IF(AI494=1,R494,0)</f>
        <v>0</v>
      </c>
      <c r="AK494" t="str">
        <f>IF(AI494=1,'Panel'!$AB$4+SUM($AJ$5:AJ494),"")</f>
        <v/>
      </c>
      <c r="AL494">
        <f>IF(AI494=0,N(AL493),IF(R494&lt;0,N(AL493)+1,0))</f>
        <v>1</v>
      </c>
      <c r="AM494">
        <f>IF(AI494=0,N(AM493),IF(R494&gt;0,N(AM493)+1,0))</f>
        <v>0</v>
      </c>
      <c r="AN494">
        <f>IF(AI494=1,MAX('Panel'!$AB$4,N(AN493),AK494),N(AN493))</f>
        <v>21371.061500000033</v>
      </c>
      <c r="AO494">
        <f>IF(AI494=1,AN494-AK494,0)</f>
        <v>0</v>
      </c>
      <c r="AP494">
        <f>IF(AND(AI494=1,AN494&gt;0),AO494/AN494,0)</f>
        <v>0</v>
      </c>
      <c r="AQ494" t="str">
        <f>IF(AI494=1,SUM($AI$5:AI494),"")</f>
        <v/>
      </c>
      <c r="AR494" t="str">
        <f>IF(AI494=1,IF(COUNTIFS($D$5:D494,D494,$AI$5:AI494,1)=1,SUMIFS($AJ$5:$AJ$504,$D$5:$D$504,D494),""),"")</f>
        <v/>
      </c>
      <c r="AS494" t="str">
        <f>IF(AG494=1,WEEKDAY(D494,2),"")</f>
        <v/>
      </c>
      <c r="AT494" s="31" t="str">
        <f>IF(AG494=1,DATE(YEAR(D494),MONTH(D494),1),"")</f>
        <v/>
      </c>
      <c r="AU494">
        <f>IF(AG494=0,0,IF(AND(OR('Prop challenge'!$D$7="",F494='Prop challenge'!$D$7),OR('Prop challenge'!$D$9="",D494&gt;='Prop challenge'!$D$9)),1,0))</f>
        <v>0</v>
      </c>
      <c r="AV494">
        <f>IF(AU494=1,IF(COUNTIFS($D$5:D494,D494,$AU$5:AU494,1)=1,1,0),0)</f>
        <v>0</v>
      </c>
      <c r="AW494" t="str">
        <f>IF(AV494=1,SUM($AV$5:AV494),"")</f>
        <v/>
      </c>
      <c r="AX494" t="str">
        <f>IF(AV494=1,SUMIFS($R$5:$R$504,$D$5:$D$504,D494,$AU$5:$AU$504,1),"")</f>
        <v/>
      </c>
    </row>
    <row r="495">
      <c r="A495" s="20" t="str">
        <f>IF(AG495=1,ROW()-4,"")</f>
        <v/>
      </c>
      <c r="B495" s="21" t="n"/>
      <c r="C495" s="22" t="n"/>
      <c r="D495" s="21" t="n"/>
      <c r="E495" s="22" t="n"/>
      <c r="F495" s="23" t="n"/>
      <c r="G495" s="23" t="n"/>
      <c r="H495" s="23" t="n"/>
      <c r="I495" s="24" t="n"/>
      <c r="J495" s="25" t="n"/>
      <c r="K495" s="25" t="n"/>
      <c r="L495" s="25" t="n"/>
      <c r="M495" s="25" t="n"/>
      <c r="N495" s="26" t="n"/>
      <c r="O495" s="26" t="n"/>
      <c r="P495" s="27" t="str">
        <f>IF(OR(J495="",K495="",I495="",AF495=0,AD495=""),"",(K495-J495)*AF495*I495*AD495*AE495)</f>
        <v/>
      </c>
      <c r="Q495" s="26" t="n"/>
      <c r="R495" s="28" t="str">
        <f>IF(Q495&lt;&gt;"",Q495,IF(P495="","",P495-N(N495)+N(O495)))</f>
        <v/>
      </c>
      <c r="S495" s="27" t="str">
        <f>IF(OR(L495="",J495="",I495="",AD495=""),"",ABS(J495-L495)*I495*AD495*AE495)</f>
        <v/>
      </c>
      <c r="T495" s="29" t="str">
        <f>IF(OR(R495="",S495="",S495=0),"",R495/S495)</f>
        <v/>
      </c>
      <c r="U495" s="20" t="str">
        <f>IF(R495="","",IF(R495&gt;0,"Ganadora",IF(R495&lt;0,"Perdedora","BE")))</f>
        <v/>
      </c>
      <c r="V495" s="23" t="n"/>
      <c r="W495" s="23" t="n"/>
      <c r="X495" s="23" t="n"/>
      <c r="Y495" s="23" t="n"/>
      <c r="Z495" s="23" t="n"/>
      <c r="AA495" s="23" t="n"/>
      <c r="AB495" s="30" t="n"/>
      <c r="AC495" s="1" t="n"/>
      <c r="AD495" s="1" t="str">
        <f>IF(G495="","",IFERROR(INDEX('Listas'!$N$6:$N$35,MATCH(G495,'Listas'!$M$6:$M$35,0)),""))</f>
        <v/>
      </c>
      <c r="AE495">
        <f>IF(G495="",1,IFERROR(INDEX('Listas'!$P$6:$P$35,MATCH(G495,'Listas'!$M$6:$M$35,0)),1))</f>
        <v>1</v>
      </c>
      <c r="AF495">
        <f>IF(H495="Compra",1,IF(H495="Venta",-1,0))</f>
        <v>0</v>
      </c>
      <c r="AG495">
        <f>IF(AND(D495&lt;&gt;"",ISNUMBER(R495)),1,0)</f>
        <v>0</v>
      </c>
      <c r="AH495">
        <f>IF(AG495=0,0,IF(OR('Panel'!$D$5="Todas las cuentas",'Panel'!$D$5="",F495='Panel'!$D$5),1,0))</f>
        <v>0</v>
      </c>
      <c r="AI495">
        <f>IF(AH495=0,0,IF(AND(OR('Panel'!$G$5="",D495&gt;='Panel'!$G$5),OR('Panel'!$J$5="",D495&lt;='Panel'!$J$5)),1,0))</f>
        <v>0</v>
      </c>
      <c r="AJ495">
        <f>IF(AI495=1,R495,0)</f>
        <v>0</v>
      </c>
      <c r="AK495" t="str">
        <f>IF(AI495=1,'Panel'!$AB$4+SUM($AJ$5:AJ495),"")</f>
        <v/>
      </c>
      <c r="AL495">
        <f>IF(AI495=0,N(AL494),IF(R495&lt;0,N(AL494)+1,0))</f>
        <v>1</v>
      </c>
      <c r="AM495">
        <f>IF(AI495=0,N(AM494),IF(R495&gt;0,N(AM494)+1,0))</f>
        <v>0</v>
      </c>
      <c r="AN495">
        <f>IF(AI495=1,MAX('Panel'!$AB$4,N(AN494),AK495),N(AN494))</f>
        <v>21371.061500000033</v>
      </c>
      <c r="AO495">
        <f>IF(AI495=1,AN495-AK495,0)</f>
        <v>0</v>
      </c>
      <c r="AP495">
        <f>IF(AND(AI495=1,AN495&gt;0),AO495/AN495,0)</f>
        <v>0</v>
      </c>
      <c r="AQ495" t="str">
        <f>IF(AI495=1,SUM($AI$5:AI495),"")</f>
        <v/>
      </c>
      <c r="AR495" t="str">
        <f>IF(AI495=1,IF(COUNTIFS($D$5:D495,D495,$AI$5:AI495,1)=1,SUMIFS($AJ$5:$AJ$504,$D$5:$D$504,D495),""),"")</f>
        <v/>
      </c>
      <c r="AS495" t="str">
        <f>IF(AG495=1,WEEKDAY(D495,2),"")</f>
        <v/>
      </c>
      <c r="AT495" s="31" t="str">
        <f>IF(AG495=1,DATE(YEAR(D495),MONTH(D495),1),"")</f>
        <v/>
      </c>
      <c r="AU495">
        <f>IF(AG495=0,0,IF(AND(OR('Prop challenge'!$D$7="",F495='Prop challenge'!$D$7),OR('Prop challenge'!$D$9="",D495&gt;='Prop challenge'!$D$9)),1,0))</f>
        <v>0</v>
      </c>
      <c r="AV495">
        <f>IF(AU495=1,IF(COUNTIFS($D$5:D495,D495,$AU$5:AU495,1)=1,1,0),0)</f>
        <v>0</v>
      </c>
      <c r="AW495" t="str">
        <f>IF(AV495=1,SUM($AV$5:AV495),"")</f>
        <v/>
      </c>
      <c r="AX495" t="str">
        <f>IF(AV495=1,SUMIFS($R$5:$R$504,$D$5:$D$504,D495,$AU$5:$AU$504,1),"")</f>
        <v/>
      </c>
    </row>
    <row r="496">
      <c r="A496" s="20" t="str">
        <f>IF(AG496=1,ROW()-4,"")</f>
        <v/>
      </c>
      <c r="B496" s="21" t="n"/>
      <c r="C496" s="22" t="n"/>
      <c r="D496" s="21" t="n"/>
      <c r="E496" s="22" t="n"/>
      <c r="F496" s="23" t="n"/>
      <c r="G496" s="23" t="n"/>
      <c r="H496" s="23" t="n"/>
      <c r="I496" s="24" t="n"/>
      <c r="J496" s="25" t="n"/>
      <c r="K496" s="25" t="n"/>
      <c r="L496" s="25" t="n"/>
      <c r="M496" s="25" t="n"/>
      <c r="N496" s="26" t="n"/>
      <c r="O496" s="26" t="n"/>
      <c r="P496" s="27" t="str">
        <f>IF(OR(J496="",K496="",I496="",AF496=0,AD496=""),"",(K496-J496)*AF496*I496*AD496*AE496)</f>
        <v/>
      </c>
      <c r="Q496" s="26" t="n"/>
      <c r="R496" s="28" t="str">
        <f>IF(Q496&lt;&gt;"",Q496,IF(P496="","",P496-N(N496)+N(O496)))</f>
        <v/>
      </c>
      <c r="S496" s="27" t="str">
        <f>IF(OR(L496="",J496="",I496="",AD496=""),"",ABS(J496-L496)*I496*AD496*AE496)</f>
        <v/>
      </c>
      <c r="T496" s="29" t="str">
        <f>IF(OR(R496="",S496="",S496=0),"",R496/S496)</f>
        <v/>
      </c>
      <c r="U496" s="20" t="str">
        <f>IF(R496="","",IF(R496&gt;0,"Ganadora",IF(R496&lt;0,"Perdedora","BE")))</f>
        <v/>
      </c>
      <c r="V496" s="23" t="n"/>
      <c r="W496" s="23" t="n"/>
      <c r="X496" s="23" t="n"/>
      <c r="Y496" s="23" t="n"/>
      <c r="Z496" s="23" t="n"/>
      <c r="AA496" s="23" t="n"/>
      <c r="AB496" s="30" t="n"/>
      <c r="AC496" s="1" t="n"/>
      <c r="AD496" s="1" t="str">
        <f>IF(G496="","",IFERROR(INDEX('Listas'!$N$6:$N$35,MATCH(G496,'Listas'!$M$6:$M$35,0)),""))</f>
        <v/>
      </c>
      <c r="AE496">
        <f>IF(G496="",1,IFERROR(INDEX('Listas'!$P$6:$P$35,MATCH(G496,'Listas'!$M$6:$M$35,0)),1))</f>
        <v>1</v>
      </c>
      <c r="AF496">
        <f>IF(H496="Compra",1,IF(H496="Venta",-1,0))</f>
        <v>0</v>
      </c>
      <c r="AG496">
        <f>IF(AND(D496&lt;&gt;"",ISNUMBER(R496)),1,0)</f>
        <v>0</v>
      </c>
      <c r="AH496">
        <f>IF(AG496=0,0,IF(OR('Panel'!$D$5="Todas las cuentas",'Panel'!$D$5="",F496='Panel'!$D$5),1,0))</f>
        <v>0</v>
      </c>
      <c r="AI496">
        <f>IF(AH496=0,0,IF(AND(OR('Panel'!$G$5="",D496&gt;='Panel'!$G$5),OR('Panel'!$J$5="",D496&lt;='Panel'!$J$5)),1,0))</f>
        <v>0</v>
      </c>
      <c r="AJ496">
        <f>IF(AI496=1,R496,0)</f>
        <v>0</v>
      </c>
      <c r="AK496" t="str">
        <f>IF(AI496=1,'Panel'!$AB$4+SUM($AJ$5:AJ496),"")</f>
        <v/>
      </c>
      <c r="AL496">
        <f>IF(AI496=0,N(AL495),IF(R496&lt;0,N(AL495)+1,0))</f>
        <v>1</v>
      </c>
      <c r="AM496">
        <f>IF(AI496=0,N(AM495),IF(R496&gt;0,N(AM495)+1,0))</f>
        <v>0</v>
      </c>
      <c r="AN496">
        <f>IF(AI496=1,MAX('Panel'!$AB$4,N(AN495),AK496),N(AN495))</f>
        <v>21371.061500000033</v>
      </c>
      <c r="AO496">
        <f>IF(AI496=1,AN496-AK496,0)</f>
        <v>0</v>
      </c>
      <c r="AP496">
        <f>IF(AND(AI496=1,AN496&gt;0),AO496/AN496,0)</f>
        <v>0</v>
      </c>
      <c r="AQ496" t="str">
        <f>IF(AI496=1,SUM($AI$5:AI496),"")</f>
        <v/>
      </c>
      <c r="AR496" t="str">
        <f>IF(AI496=1,IF(COUNTIFS($D$5:D496,D496,$AI$5:AI496,1)=1,SUMIFS($AJ$5:$AJ$504,$D$5:$D$504,D496),""),"")</f>
        <v/>
      </c>
      <c r="AS496" t="str">
        <f>IF(AG496=1,WEEKDAY(D496,2),"")</f>
        <v/>
      </c>
      <c r="AT496" s="31" t="str">
        <f>IF(AG496=1,DATE(YEAR(D496),MONTH(D496),1),"")</f>
        <v/>
      </c>
      <c r="AU496">
        <f>IF(AG496=0,0,IF(AND(OR('Prop challenge'!$D$7="",F496='Prop challenge'!$D$7),OR('Prop challenge'!$D$9="",D496&gt;='Prop challenge'!$D$9)),1,0))</f>
        <v>0</v>
      </c>
      <c r="AV496">
        <f>IF(AU496=1,IF(COUNTIFS($D$5:D496,D496,$AU$5:AU496,1)=1,1,0),0)</f>
        <v>0</v>
      </c>
      <c r="AW496" t="str">
        <f>IF(AV496=1,SUM($AV$5:AV496),"")</f>
        <v/>
      </c>
      <c r="AX496" t="str">
        <f>IF(AV496=1,SUMIFS($R$5:$R$504,$D$5:$D$504,D496,$AU$5:$AU$504,1),"")</f>
        <v/>
      </c>
    </row>
    <row r="497">
      <c r="A497" s="20" t="str">
        <f>IF(AG497=1,ROW()-4,"")</f>
        <v/>
      </c>
      <c r="B497" s="21" t="n"/>
      <c r="C497" s="22" t="n"/>
      <c r="D497" s="21" t="n"/>
      <c r="E497" s="22" t="n"/>
      <c r="F497" s="23" t="n"/>
      <c r="G497" s="23" t="n"/>
      <c r="H497" s="23" t="n"/>
      <c r="I497" s="24" t="n"/>
      <c r="J497" s="25" t="n"/>
      <c r="K497" s="25" t="n"/>
      <c r="L497" s="25" t="n"/>
      <c r="M497" s="25" t="n"/>
      <c r="N497" s="26" t="n"/>
      <c r="O497" s="26" t="n"/>
      <c r="P497" s="27" t="str">
        <f>IF(OR(J497="",K497="",I497="",AF497=0,AD497=""),"",(K497-J497)*AF497*I497*AD497*AE497)</f>
        <v/>
      </c>
      <c r="Q497" s="26" t="n"/>
      <c r="R497" s="28" t="str">
        <f>IF(Q497&lt;&gt;"",Q497,IF(P497="","",P497-N(N497)+N(O497)))</f>
        <v/>
      </c>
      <c r="S497" s="27" t="str">
        <f>IF(OR(L497="",J497="",I497="",AD497=""),"",ABS(J497-L497)*I497*AD497*AE497)</f>
        <v/>
      </c>
      <c r="T497" s="29" t="str">
        <f>IF(OR(R497="",S497="",S497=0),"",R497/S497)</f>
        <v/>
      </c>
      <c r="U497" s="20" t="str">
        <f>IF(R497="","",IF(R497&gt;0,"Ganadora",IF(R497&lt;0,"Perdedora","BE")))</f>
        <v/>
      </c>
      <c r="V497" s="23" t="n"/>
      <c r="W497" s="23" t="n"/>
      <c r="X497" s="23" t="n"/>
      <c r="Y497" s="23" t="n"/>
      <c r="Z497" s="23" t="n"/>
      <c r="AA497" s="23" t="n"/>
      <c r="AB497" s="30" t="n"/>
      <c r="AC497" s="1" t="n"/>
      <c r="AD497" s="1" t="str">
        <f>IF(G497="","",IFERROR(INDEX('Listas'!$N$6:$N$35,MATCH(G497,'Listas'!$M$6:$M$35,0)),""))</f>
        <v/>
      </c>
      <c r="AE497">
        <f>IF(G497="",1,IFERROR(INDEX('Listas'!$P$6:$P$35,MATCH(G497,'Listas'!$M$6:$M$35,0)),1))</f>
        <v>1</v>
      </c>
      <c r="AF497">
        <f>IF(H497="Compra",1,IF(H497="Venta",-1,0))</f>
        <v>0</v>
      </c>
      <c r="AG497">
        <f>IF(AND(D497&lt;&gt;"",ISNUMBER(R497)),1,0)</f>
        <v>0</v>
      </c>
      <c r="AH497">
        <f>IF(AG497=0,0,IF(OR('Panel'!$D$5="Todas las cuentas",'Panel'!$D$5="",F497='Panel'!$D$5),1,0))</f>
        <v>0</v>
      </c>
      <c r="AI497">
        <f>IF(AH497=0,0,IF(AND(OR('Panel'!$G$5="",D497&gt;='Panel'!$G$5),OR('Panel'!$J$5="",D497&lt;='Panel'!$J$5)),1,0))</f>
        <v>0</v>
      </c>
      <c r="AJ497">
        <f>IF(AI497=1,R497,0)</f>
        <v>0</v>
      </c>
      <c r="AK497" t="str">
        <f>IF(AI497=1,'Panel'!$AB$4+SUM($AJ$5:AJ497),"")</f>
        <v/>
      </c>
      <c r="AL497">
        <f>IF(AI497=0,N(AL496),IF(R497&lt;0,N(AL496)+1,0))</f>
        <v>1</v>
      </c>
      <c r="AM497">
        <f>IF(AI497=0,N(AM496),IF(R497&gt;0,N(AM496)+1,0))</f>
        <v>0</v>
      </c>
      <c r="AN497">
        <f>IF(AI497=1,MAX('Panel'!$AB$4,N(AN496),AK497),N(AN496))</f>
        <v>21371.061500000033</v>
      </c>
      <c r="AO497">
        <f>IF(AI497=1,AN497-AK497,0)</f>
        <v>0</v>
      </c>
      <c r="AP497">
        <f>IF(AND(AI497=1,AN497&gt;0),AO497/AN497,0)</f>
        <v>0</v>
      </c>
      <c r="AQ497" t="str">
        <f>IF(AI497=1,SUM($AI$5:AI497),"")</f>
        <v/>
      </c>
      <c r="AR497" t="str">
        <f>IF(AI497=1,IF(COUNTIFS($D$5:D497,D497,$AI$5:AI497,1)=1,SUMIFS($AJ$5:$AJ$504,$D$5:$D$504,D497),""),"")</f>
        <v/>
      </c>
      <c r="AS497" t="str">
        <f>IF(AG497=1,WEEKDAY(D497,2),"")</f>
        <v/>
      </c>
      <c r="AT497" s="31" t="str">
        <f>IF(AG497=1,DATE(YEAR(D497),MONTH(D497),1),"")</f>
        <v/>
      </c>
      <c r="AU497">
        <f>IF(AG497=0,0,IF(AND(OR('Prop challenge'!$D$7="",F497='Prop challenge'!$D$7),OR('Prop challenge'!$D$9="",D497&gt;='Prop challenge'!$D$9)),1,0))</f>
        <v>0</v>
      </c>
      <c r="AV497">
        <f>IF(AU497=1,IF(COUNTIFS($D$5:D497,D497,$AU$5:AU497,1)=1,1,0),0)</f>
        <v>0</v>
      </c>
      <c r="AW497" t="str">
        <f>IF(AV497=1,SUM($AV$5:AV497),"")</f>
        <v/>
      </c>
      <c r="AX497" t="str">
        <f>IF(AV497=1,SUMIFS($R$5:$R$504,$D$5:$D$504,D497,$AU$5:$AU$504,1),"")</f>
        <v/>
      </c>
    </row>
    <row r="498">
      <c r="A498" s="20" t="str">
        <f>IF(AG498=1,ROW()-4,"")</f>
        <v/>
      </c>
      <c r="B498" s="21" t="n"/>
      <c r="C498" s="22" t="n"/>
      <c r="D498" s="21" t="n"/>
      <c r="E498" s="22" t="n"/>
      <c r="F498" s="23" t="n"/>
      <c r="G498" s="23" t="n"/>
      <c r="H498" s="23" t="n"/>
      <c r="I498" s="24" t="n"/>
      <c r="J498" s="25" t="n"/>
      <c r="K498" s="25" t="n"/>
      <c r="L498" s="25" t="n"/>
      <c r="M498" s="25" t="n"/>
      <c r="N498" s="26" t="n"/>
      <c r="O498" s="26" t="n"/>
      <c r="P498" s="27" t="str">
        <f>IF(OR(J498="",K498="",I498="",AF498=0,AD498=""),"",(K498-J498)*AF498*I498*AD498*AE498)</f>
        <v/>
      </c>
      <c r="Q498" s="26" t="n"/>
      <c r="R498" s="28" t="str">
        <f>IF(Q498&lt;&gt;"",Q498,IF(P498="","",P498-N(N498)+N(O498)))</f>
        <v/>
      </c>
      <c r="S498" s="27" t="str">
        <f>IF(OR(L498="",J498="",I498="",AD498=""),"",ABS(J498-L498)*I498*AD498*AE498)</f>
        <v/>
      </c>
      <c r="T498" s="29" t="str">
        <f>IF(OR(R498="",S498="",S498=0),"",R498/S498)</f>
        <v/>
      </c>
      <c r="U498" s="20" t="str">
        <f>IF(R498="","",IF(R498&gt;0,"Ganadora",IF(R498&lt;0,"Perdedora","BE")))</f>
        <v/>
      </c>
      <c r="V498" s="23" t="n"/>
      <c r="W498" s="23" t="n"/>
      <c r="X498" s="23" t="n"/>
      <c r="Y498" s="23" t="n"/>
      <c r="Z498" s="23" t="n"/>
      <c r="AA498" s="23" t="n"/>
      <c r="AB498" s="30" t="n"/>
      <c r="AC498" s="1" t="n"/>
      <c r="AD498" s="1" t="str">
        <f>IF(G498="","",IFERROR(INDEX('Listas'!$N$6:$N$35,MATCH(G498,'Listas'!$M$6:$M$35,0)),""))</f>
        <v/>
      </c>
      <c r="AE498">
        <f>IF(G498="",1,IFERROR(INDEX('Listas'!$P$6:$P$35,MATCH(G498,'Listas'!$M$6:$M$35,0)),1))</f>
        <v>1</v>
      </c>
      <c r="AF498">
        <f>IF(H498="Compra",1,IF(H498="Venta",-1,0))</f>
        <v>0</v>
      </c>
      <c r="AG498">
        <f>IF(AND(D498&lt;&gt;"",ISNUMBER(R498)),1,0)</f>
        <v>0</v>
      </c>
      <c r="AH498">
        <f>IF(AG498=0,0,IF(OR('Panel'!$D$5="Todas las cuentas",'Panel'!$D$5="",F498='Panel'!$D$5),1,0))</f>
        <v>0</v>
      </c>
      <c r="AI498">
        <f>IF(AH498=0,0,IF(AND(OR('Panel'!$G$5="",D498&gt;='Panel'!$G$5),OR('Panel'!$J$5="",D498&lt;='Panel'!$J$5)),1,0))</f>
        <v>0</v>
      </c>
      <c r="AJ498">
        <f>IF(AI498=1,R498,0)</f>
        <v>0</v>
      </c>
      <c r="AK498" t="str">
        <f>IF(AI498=1,'Panel'!$AB$4+SUM($AJ$5:AJ498),"")</f>
        <v/>
      </c>
      <c r="AL498">
        <f>IF(AI498=0,N(AL497),IF(R498&lt;0,N(AL497)+1,0))</f>
        <v>1</v>
      </c>
      <c r="AM498">
        <f>IF(AI498=0,N(AM497),IF(R498&gt;0,N(AM497)+1,0))</f>
        <v>0</v>
      </c>
      <c r="AN498">
        <f>IF(AI498=1,MAX('Panel'!$AB$4,N(AN497),AK498),N(AN497))</f>
        <v>21371.061500000033</v>
      </c>
      <c r="AO498">
        <f>IF(AI498=1,AN498-AK498,0)</f>
        <v>0</v>
      </c>
      <c r="AP498">
        <f>IF(AND(AI498=1,AN498&gt;0),AO498/AN498,0)</f>
        <v>0</v>
      </c>
      <c r="AQ498" t="str">
        <f>IF(AI498=1,SUM($AI$5:AI498),"")</f>
        <v/>
      </c>
      <c r="AR498" t="str">
        <f>IF(AI498=1,IF(COUNTIFS($D$5:D498,D498,$AI$5:AI498,1)=1,SUMIFS($AJ$5:$AJ$504,$D$5:$D$504,D498),""),"")</f>
        <v/>
      </c>
      <c r="AS498" t="str">
        <f>IF(AG498=1,WEEKDAY(D498,2),"")</f>
        <v/>
      </c>
      <c r="AT498" s="31" t="str">
        <f>IF(AG498=1,DATE(YEAR(D498),MONTH(D498),1),"")</f>
        <v/>
      </c>
      <c r="AU498">
        <f>IF(AG498=0,0,IF(AND(OR('Prop challenge'!$D$7="",F498='Prop challenge'!$D$7),OR('Prop challenge'!$D$9="",D498&gt;='Prop challenge'!$D$9)),1,0))</f>
        <v>0</v>
      </c>
      <c r="AV498">
        <f>IF(AU498=1,IF(COUNTIFS($D$5:D498,D498,$AU$5:AU498,1)=1,1,0),0)</f>
        <v>0</v>
      </c>
      <c r="AW498" t="str">
        <f>IF(AV498=1,SUM($AV$5:AV498),"")</f>
        <v/>
      </c>
      <c r="AX498" t="str">
        <f>IF(AV498=1,SUMIFS($R$5:$R$504,$D$5:$D$504,D498,$AU$5:$AU$504,1),"")</f>
        <v/>
      </c>
    </row>
    <row r="499">
      <c r="A499" s="20" t="str">
        <f>IF(AG499=1,ROW()-4,"")</f>
        <v/>
      </c>
      <c r="B499" s="21" t="n"/>
      <c r="C499" s="22" t="n"/>
      <c r="D499" s="21" t="n"/>
      <c r="E499" s="22" t="n"/>
      <c r="F499" s="23" t="n"/>
      <c r="G499" s="23" t="n"/>
      <c r="H499" s="23" t="n"/>
      <c r="I499" s="24" t="n"/>
      <c r="J499" s="25" t="n"/>
      <c r="K499" s="25" t="n"/>
      <c r="L499" s="25" t="n"/>
      <c r="M499" s="25" t="n"/>
      <c r="N499" s="26" t="n"/>
      <c r="O499" s="26" t="n"/>
      <c r="P499" s="27" t="str">
        <f>IF(OR(J499="",K499="",I499="",AF499=0,AD499=""),"",(K499-J499)*AF499*I499*AD499*AE499)</f>
        <v/>
      </c>
      <c r="Q499" s="26" t="n"/>
      <c r="R499" s="28" t="str">
        <f>IF(Q499&lt;&gt;"",Q499,IF(P499="","",P499-N(N499)+N(O499)))</f>
        <v/>
      </c>
      <c r="S499" s="27" t="str">
        <f>IF(OR(L499="",J499="",I499="",AD499=""),"",ABS(J499-L499)*I499*AD499*AE499)</f>
        <v/>
      </c>
      <c r="T499" s="29" t="str">
        <f>IF(OR(R499="",S499="",S499=0),"",R499/S499)</f>
        <v/>
      </c>
      <c r="U499" s="20" t="str">
        <f>IF(R499="","",IF(R499&gt;0,"Ganadora",IF(R499&lt;0,"Perdedora","BE")))</f>
        <v/>
      </c>
      <c r="V499" s="23" t="n"/>
      <c r="W499" s="23" t="n"/>
      <c r="X499" s="23" t="n"/>
      <c r="Y499" s="23" t="n"/>
      <c r="Z499" s="23" t="n"/>
      <c r="AA499" s="23" t="n"/>
      <c r="AB499" s="30" t="n"/>
      <c r="AC499" s="1" t="n"/>
      <c r="AD499" s="1" t="str">
        <f>IF(G499="","",IFERROR(INDEX('Listas'!$N$6:$N$35,MATCH(G499,'Listas'!$M$6:$M$35,0)),""))</f>
        <v/>
      </c>
      <c r="AE499">
        <f>IF(G499="",1,IFERROR(INDEX('Listas'!$P$6:$P$35,MATCH(G499,'Listas'!$M$6:$M$35,0)),1))</f>
        <v>1</v>
      </c>
      <c r="AF499">
        <f>IF(H499="Compra",1,IF(H499="Venta",-1,0))</f>
        <v>0</v>
      </c>
      <c r="AG499">
        <f>IF(AND(D499&lt;&gt;"",ISNUMBER(R499)),1,0)</f>
        <v>0</v>
      </c>
      <c r="AH499">
        <f>IF(AG499=0,0,IF(OR('Panel'!$D$5="Todas las cuentas",'Panel'!$D$5="",F499='Panel'!$D$5),1,0))</f>
        <v>0</v>
      </c>
      <c r="AI499">
        <f>IF(AH499=0,0,IF(AND(OR('Panel'!$G$5="",D499&gt;='Panel'!$G$5),OR('Panel'!$J$5="",D499&lt;='Panel'!$J$5)),1,0))</f>
        <v>0</v>
      </c>
      <c r="AJ499">
        <f>IF(AI499=1,R499,0)</f>
        <v>0</v>
      </c>
      <c r="AK499" t="str">
        <f>IF(AI499=1,'Panel'!$AB$4+SUM($AJ$5:AJ499),"")</f>
        <v/>
      </c>
      <c r="AL499">
        <f>IF(AI499=0,N(AL498),IF(R499&lt;0,N(AL498)+1,0))</f>
        <v>1</v>
      </c>
      <c r="AM499">
        <f>IF(AI499=0,N(AM498),IF(R499&gt;0,N(AM498)+1,0))</f>
        <v>0</v>
      </c>
      <c r="AN499">
        <f>IF(AI499=1,MAX('Panel'!$AB$4,N(AN498),AK499),N(AN498))</f>
        <v>21371.061500000033</v>
      </c>
      <c r="AO499">
        <f>IF(AI499=1,AN499-AK499,0)</f>
        <v>0</v>
      </c>
      <c r="AP499">
        <f>IF(AND(AI499=1,AN499&gt;0),AO499/AN499,0)</f>
        <v>0</v>
      </c>
      <c r="AQ499" t="str">
        <f>IF(AI499=1,SUM($AI$5:AI499),"")</f>
        <v/>
      </c>
      <c r="AR499" t="str">
        <f>IF(AI499=1,IF(COUNTIFS($D$5:D499,D499,$AI$5:AI499,1)=1,SUMIFS($AJ$5:$AJ$504,$D$5:$D$504,D499),""),"")</f>
        <v/>
      </c>
      <c r="AS499" t="str">
        <f>IF(AG499=1,WEEKDAY(D499,2),"")</f>
        <v/>
      </c>
      <c r="AT499" s="31" t="str">
        <f>IF(AG499=1,DATE(YEAR(D499),MONTH(D499),1),"")</f>
        <v/>
      </c>
      <c r="AU499">
        <f>IF(AG499=0,0,IF(AND(OR('Prop challenge'!$D$7="",F499='Prop challenge'!$D$7),OR('Prop challenge'!$D$9="",D499&gt;='Prop challenge'!$D$9)),1,0))</f>
        <v>0</v>
      </c>
      <c r="AV499">
        <f>IF(AU499=1,IF(COUNTIFS($D$5:D499,D499,$AU$5:AU499,1)=1,1,0),0)</f>
        <v>0</v>
      </c>
      <c r="AW499" t="str">
        <f>IF(AV499=1,SUM($AV$5:AV499),"")</f>
        <v/>
      </c>
      <c r="AX499" t="str">
        <f>IF(AV499=1,SUMIFS($R$5:$R$504,$D$5:$D$504,D499,$AU$5:$AU$504,1),"")</f>
        <v/>
      </c>
    </row>
    <row r="500">
      <c r="A500" s="20" t="str">
        <f>IF(AG500=1,ROW()-4,"")</f>
        <v/>
      </c>
      <c r="B500" s="21" t="n"/>
      <c r="C500" s="22" t="n"/>
      <c r="D500" s="21" t="n"/>
      <c r="E500" s="22" t="n"/>
      <c r="F500" s="23" t="n"/>
      <c r="G500" s="23" t="n"/>
      <c r="H500" s="23" t="n"/>
      <c r="I500" s="24" t="n"/>
      <c r="J500" s="25" t="n"/>
      <c r="K500" s="25" t="n"/>
      <c r="L500" s="25" t="n"/>
      <c r="M500" s="25" t="n"/>
      <c r="N500" s="26" t="n"/>
      <c r="O500" s="26" t="n"/>
      <c r="P500" s="27" t="str">
        <f>IF(OR(J500="",K500="",I500="",AF500=0,AD500=""),"",(K500-J500)*AF500*I500*AD500*AE500)</f>
        <v/>
      </c>
      <c r="Q500" s="26" t="n"/>
      <c r="R500" s="28" t="str">
        <f>IF(Q500&lt;&gt;"",Q500,IF(P500="","",P500-N(N500)+N(O500)))</f>
        <v/>
      </c>
      <c r="S500" s="27" t="str">
        <f>IF(OR(L500="",J500="",I500="",AD500=""),"",ABS(J500-L500)*I500*AD500*AE500)</f>
        <v/>
      </c>
      <c r="T500" s="29" t="str">
        <f>IF(OR(R500="",S500="",S500=0),"",R500/S500)</f>
        <v/>
      </c>
      <c r="U500" s="20" t="str">
        <f>IF(R500="","",IF(R500&gt;0,"Ganadora",IF(R500&lt;0,"Perdedora","BE")))</f>
        <v/>
      </c>
      <c r="V500" s="23" t="n"/>
      <c r="W500" s="23" t="n"/>
      <c r="X500" s="23" t="n"/>
      <c r="Y500" s="23" t="n"/>
      <c r="Z500" s="23" t="n"/>
      <c r="AA500" s="23" t="n"/>
      <c r="AB500" s="30" t="n"/>
      <c r="AC500" s="1" t="n"/>
      <c r="AD500" s="1" t="str">
        <f>IF(G500="","",IFERROR(INDEX('Listas'!$N$6:$N$35,MATCH(G500,'Listas'!$M$6:$M$35,0)),""))</f>
        <v/>
      </c>
      <c r="AE500">
        <f>IF(G500="",1,IFERROR(INDEX('Listas'!$P$6:$P$35,MATCH(G500,'Listas'!$M$6:$M$35,0)),1))</f>
        <v>1</v>
      </c>
      <c r="AF500">
        <f>IF(H500="Compra",1,IF(H500="Venta",-1,0))</f>
        <v>0</v>
      </c>
      <c r="AG500">
        <f>IF(AND(D500&lt;&gt;"",ISNUMBER(R500)),1,0)</f>
        <v>0</v>
      </c>
      <c r="AH500">
        <f>IF(AG500=0,0,IF(OR('Panel'!$D$5="Todas las cuentas",'Panel'!$D$5="",F500='Panel'!$D$5),1,0))</f>
        <v>0</v>
      </c>
      <c r="AI500">
        <f>IF(AH500=0,0,IF(AND(OR('Panel'!$G$5="",D500&gt;='Panel'!$G$5),OR('Panel'!$J$5="",D500&lt;='Panel'!$J$5)),1,0))</f>
        <v>0</v>
      </c>
      <c r="AJ500">
        <f>IF(AI500=1,R500,0)</f>
        <v>0</v>
      </c>
      <c r="AK500" t="str">
        <f>IF(AI500=1,'Panel'!$AB$4+SUM($AJ$5:AJ500),"")</f>
        <v/>
      </c>
      <c r="AL500">
        <f>IF(AI500=0,N(AL499),IF(R500&lt;0,N(AL499)+1,0))</f>
        <v>1</v>
      </c>
      <c r="AM500">
        <f>IF(AI500=0,N(AM499),IF(R500&gt;0,N(AM499)+1,0))</f>
        <v>0</v>
      </c>
      <c r="AN500">
        <f>IF(AI500=1,MAX('Panel'!$AB$4,N(AN499),AK500),N(AN499))</f>
        <v>21371.061500000033</v>
      </c>
      <c r="AO500">
        <f>IF(AI500=1,AN500-AK500,0)</f>
        <v>0</v>
      </c>
      <c r="AP500">
        <f>IF(AND(AI500=1,AN500&gt;0),AO500/AN500,0)</f>
        <v>0</v>
      </c>
      <c r="AQ500" t="str">
        <f>IF(AI500=1,SUM($AI$5:AI500),"")</f>
        <v/>
      </c>
      <c r="AR500" t="str">
        <f>IF(AI500=1,IF(COUNTIFS($D$5:D500,D500,$AI$5:AI500,1)=1,SUMIFS($AJ$5:$AJ$504,$D$5:$D$504,D500),""),"")</f>
        <v/>
      </c>
      <c r="AS500" t="str">
        <f>IF(AG500=1,WEEKDAY(D500,2),"")</f>
        <v/>
      </c>
      <c r="AT500" s="31" t="str">
        <f>IF(AG500=1,DATE(YEAR(D500),MONTH(D500),1),"")</f>
        <v/>
      </c>
      <c r="AU500">
        <f>IF(AG500=0,0,IF(AND(OR('Prop challenge'!$D$7="",F500='Prop challenge'!$D$7),OR('Prop challenge'!$D$9="",D500&gt;='Prop challenge'!$D$9)),1,0))</f>
        <v>0</v>
      </c>
      <c r="AV500">
        <f>IF(AU500=1,IF(COUNTIFS($D$5:D500,D500,$AU$5:AU500,1)=1,1,0),0)</f>
        <v>0</v>
      </c>
      <c r="AW500" t="str">
        <f>IF(AV500=1,SUM($AV$5:AV500),"")</f>
        <v/>
      </c>
      <c r="AX500" t="str">
        <f>IF(AV500=1,SUMIFS($R$5:$R$504,$D$5:$D$504,D500,$AU$5:$AU$504,1),"")</f>
        <v/>
      </c>
    </row>
    <row r="501">
      <c r="A501" s="20" t="str">
        <f>IF(AG501=1,ROW()-4,"")</f>
        <v/>
      </c>
      <c r="B501" s="21" t="n"/>
      <c r="C501" s="22" t="n"/>
      <c r="D501" s="21" t="n"/>
      <c r="E501" s="22" t="n"/>
      <c r="F501" s="23" t="n"/>
      <c r="G501" s="23" t="n"/>
      <c r="H501" s="23" t="n"/>
      <c r="I501" s="24" t="n"/>
      <c r="J501" s="25" t="n"/>
      <c r="K501" s="25" t="n"/>
      <c r="L501" s="25" t="n"/>
      <c r="M501" s="25" t="n"/>
      <c r="N501" s="26" t="n"/>
      <c r="O501" s="26" t="n"/>
      <c r="P501" s="27" t="str">
        <f>IF(OR(J501="",K501="",I501="",AF501=0,AD501=""),"",(K501-J501)*AF501*I501*AD501*AE501)</f>
        <v/>
      </c>
      <c r="Q501" s="26" t="n"/>
      <c r="R501" s="28" t="str">
        <f>IF(Q501&lt;&gt;"",Q501,IF(P501="","",P501-N(N501)+N(O501)))</f>
        <v/>
      </c>
      <c r="S501" s="27" t="str">
        <f>IF(OR(L501="",J501="",I501="",AD501=""),"",ABS(J501-L501)*I501*AD501*AE501)</f>
        <v/>
      </c>
      <c r="T501" s="29" t="str">
        <f>IF(OR(R501="",S501="",S501=0),"",R501/S501)</f>
        <v/>
      </c>
      <c r="U501" s="20" t="str">
        <f>IF(R501="","",IF(R501&gt;0,"Ganadora",IF(R501&lt;0,"Perdedora","BE")))</f>
        <v/>
      </c>
      <c r="V501" s="23" t="n"/>
      <c r="W501" s="23" t="n"/>
      <c r="X501" s="23" t="n"/>
      <c r="Y501" s="23" t="n"/>
      <c r="Z501" s="23" t="n"/>
      <c r="AA501" s="23" t="n"/>
      <c r="AB501" s="30" t="n"/>
      <c r="AC501" s="1" t="n"/>
      <c r="AD501" s="1" t="str">
        <f>IF(G501="","",IFERROR(INDEX('Listas'!$N$6:$N$35,MATCH(G501,'Listas'!$M$6:$M$35,0)),""))</f>
        <v/>
      </c>
      <c r="AE501">
        <f>IF(G501="",1,IFERROR(INDEX('Listas'!$P$6:$P$35,MATCH(G501,'Listas'!$M$6:$M$35,0)),1))</f>
        <v>1</v>
      </c>
      <c r="AF501">
        <f>IF(H501="Compra",1,IF(H501="Venta",-1,0))</f>
        <v>0</v>
      </c>
      <c r="AG501">
        <f>IF(AND(D501&lt;&gt;"",ISNUMBER(R501)),1,0)</f>
        <v>0</v>
      </c>
      <c r="AH501">
        <f>IF(AG501=0,0,IF(OR('Panel'!$D$5="Todas las cuentas",'Panel'!$D$5="",F501='Panel'!$D$5),1,0))</f>
        <v>0</v>
      </c>
      <c r="AI501">
        <f>IF(AH501=0,0,IF(AND(OR('Panel'!$G$5="",D501&gt;='Panel'!$G$5),OR('Panel'!$J$5="",D501&lt;='Panel'!$J$5)),1,0))</f>
        <v>0</v>
      </c>
      <c r="AJ501">
        <f>IF(AI501=1,R501,0)</f>
        <v>0</v>
      </c>
      <c r="AK501" t="str">
        <f>IF(AI501=1,'Panel'!$AB$4+SUM($AJ$5:AJ501),"")</f>
        <v/>
      </c>
      <c r="AL501">
        <f>IF(AI501=0,N(AL500),IF(R501&lt;0,N(AL500)+1,0))</f>
        <v>1</v>
      </c>
      <c r="AM501">
        <f>IF(AI501=0,N(AM500),IF(R501&gt;0,N(AM500)+1,0))</f>
        <v>0</v>
      </c>
      <c r="AN501">
        <f>IF(AI501=1,MAX('Panel'!$AB$4,N(AN500),AK501),N(AN500))</f>
        <v>21371.061500000033</v>
      </c>
      <c r="AO501">
        <f>IF(AI501=1,AN501-AK501,0)</f>
        <v>0</v>
      </c>
      <c r="AP501">
        <f>IF(AND(AI501=1,AN501&gt;0),AO501/AN501,0)</f>
        <v>0</v>
      </c>
      <c r="AQ501" t="str">
        <f>IF(AI501=1,SUM($AI$5:AI501),"")</f>
        <v/>
      </c>
      <c r="AR501" t="str">
        <f>IF(AI501=1,IF(COUNTIFS($D$5:D501,D501,$AI$5:AI501,1)=1,SUMIFS($AJ$5:$AJ$504,$D$5:$D$504,D501),""),"")</f>
        <v/>
      </c>
      <c r="AS501" t="str">
        <f>IF(AG501=1,WEEKDAY(D501,2),"")</f>
        <v/>
      </c>
      <c r="AT501" s="31" t="str">
        <f>IF(AG501=1,DATE(YEAR(D501),MONTH(D501),1),"")</f>
        <v/>
      </c>
      <c r="AU501">
        <f>IF(AG501=0,0,IF(AND(OR('Prop challenge'!$D$7="",F501='Prop challenge'!$D$7),OR('Prop challenge'!$D$9="",D501&gt;='Prop challenge'!$D$9)),1,0))</f>
        <v>0</v>
      </c>
      <c r="AV501">
        <f>IF(AU501=1,IF(COUNTIFS($D$5:D501,D501,$AU$5:AU501,1)=1,1,0),0)</f>
        <v>0</v>
      </c>
      <c r="AW501" t="str">
        <f>IF(AV501=1,SUM($AV$5:AV501),"")</f>
        <v/>
      </c>
      <c r="AX501" t="str">
        <f>IF(AV501=1,SUMIFS($R$5:$R$504,$D$5:$D$504,D501,$AU$5:$AU$504,1),"")</f>
        <v/>
      </c>
    </row>
    <row r="502">
      <c r="A502" s="20" t="str">
        <f>IF(AG502=1,ROW()-4,"")</f>
        <v/>
      </c>
      <c r="B502" s="21" t="n"/>
      <c r="C502" s="22" t="n"/>
      <c r="D502" s="21" t="n"/>
      <c r="E502" s="22" t="n"/>
      <c r="F502" s="23" t="n"/>
      <c r="G502" s="23" t="n"/>
      <c r="H502" s="23" t="n"/>
      <c r="I502" s="24" t="n"/>
      <c r="J502" s="25" t="n"/>
      <c r="K502" s="25" t="n"/>
      <c r="L502" s="25" t="n"/>
      <c r="M502" s="25" t="n"/>
      <c r="N502" s="26" t="n"/>
      <c r="O502" s="26" t="n"/>
      <c r="P502" s="27" t="str">
        <f>IF(OR(J502="",K502="",I502="",AF502=0,AD502=""),"",(K502-J502)*AF502*I502*AD502*AE502)</f>
        <v/>
      </c>
      <c r="Q502" s="26" t="n"/>
      <c r="R502" s="28" t="str">
        <f>IF(Q502&lt;&gt;"",Q502,IF(P502="","",P502-N(N502)+N(O502)))</f>
        <v/>
      </c>
      <c r="S502" s="27" t="str">
        <f>IF(OR(L502="",J502="",I502="",AD502=""),"",ABS(J502-L502)*I502*AD502*AE502)</f>
        <v/>
      </c>
      <c r="T502" s="29" t="str">
        <f>IF(OR(R502="",S502="",S502=0),"",R502/S502)</f>
        <v/>
      </c>
      <c r="U502" s="20" t="str">
        <f>IF(R502="","",IF(R502&gt;0,"Ganadora",IF(R502&lt;0,"Perdedora","BE")))</f>
        <v/>
      </c>
      <c r="V502" s="23" t="n"/>
      <c r="W502" s="23" t="n"/>
      <c r="X502" s="23" t="n"/>
      <c r="Y502" s="23" t="n"/>
      <c r="Z502" s="23" t="n"/>
      <c r="AA502" s="23" t="n"/>
      <c r="AB502" s="30" t="n"/>
      <c r="AC502" s="1" t="n"/>
      <c r="AD502" s="1" t="str">
        <f>IF(G502="","",IFERROR(INDEX('Listas'!$N$6:$N$35,MATCH(G502,'Listas'!$M$6:$M$35,0)),""))</f>
        <v/>
      </c>
      <c r="AE502">
        <f>IF(G502="",1,IFERROR(INDEX('Listas'!$P$6:$P$35,MATCH(G502,'Listas'!$M$6:$M$35,0)),1))</f>
        <v>1</v>
      </c>
      <c r="AF502">
        <f>IF(H502="Compra",1,IF(H502="Venta",-1,0))</f>
        <v>0</v>
      </c>
      <c r="AG502">
        <f>IF(AND(D502&lt;&gt;"",ISNUMBER(R502)),1,0)</f>
        <v>0</v>
      </c>
      <c r="AH502">
        <f>IF(AG502=0,0,IF(OR('Panel'!$D$5="Todas las cuentas",'Panel'!$D$5="",F502='Panel'!$D$5),1,0))</f>
        <v>0</v>
      </c>
      <c r="AI502">
        <f>IF(AH502=0,0,IF(AND(OR('Panel'!$G$5="",D502&gt;='Panel'!$G$5),OR('Panel'!$J$5="",D502&lt;='Panel'!$J$5)),1,0))</f>
        <v>0</v>
      </c>
      <c r="AJ502">
        <f>IF(AI502=1,R502,0)</f>
        <v>0</v>
      </c>
      <c r="AK502" t="str">
        <f>IF(AI502=1,'Panel'!$AB$4+SUM($AJ$5:AJ502),"")</f>
        <v/>
      </c>
      <c r="AL502">
        <f>IF(AI502=0,N(AL501),IF(R502&lt;0,N(AL501)+1,0))</f>
        <v>1</v>
      </c>
      <c r="AM502">
        <f>IF(AI502=0,N(AM501),IF(R502&gt;0,N(AM501)+1,0))</f>
        <v>0</v>
      </c>
      <c r="AN502">
        <f>IF(AI502=1,MAX('Panel'!$AB$4,N(AN501),AK502),N(AN501))</f>
        <v>21371.061500000033</v>
      </c>
      <c r="AO502">
        <f>IF(AI502=1,AN502-AK502,0)</f>
        <v>0</v>
      </c>
      <c r="AP502">
        <f>IF(AND(AI502=1,AN502&gt;0),AO502/AN502,0)</f>
        <v>0</v>
      </c>
      <c r="AQ502" t="str">
        <f>IF(AI502=1,SUM($AI$5:AI502),"")</f>
        <v/>
      </c>
      <c r="AR502" t="str">
        <f>IF(AI502=1,IF(COUNTIFS($D$5:D502,D502,$AI$5:AI502,1)=1,SUMIFS($AJ$5:$AJ$504,$D$5:$D$504,D502),""),"")</f>
        <v/>
      </c>
      <c r="AS502" t="str">
        <f>IF(AG502=1,WEEKDAY(D502,2),"")</f>
        <v/>
      </c>
      <c r="AT502" s="31" t="str">
        <f>IF(AG502=1,DATE(YEAR(D502),MONTH(D502),1),"")</f>
        <v/>
      </c>
      <c r="AU502">
        <f>IF(AG502=0,0,IF(AND(OR('Prop challenge'!$D$7="",F502='Prop challenge'!$D$7),OR('Prop challenge'!$D$9="",D502&gt;='Prop challenge'!$D$9)),1,0))</f>
        <v>0</v>
      </c>
      <c r="AV502">
        <f>IF(AU502=1,IF(COUNTIFS($D$5:D502,D502,$AU$5:AU502,1)=1,1,0),0)</f>
        <v>0</v>
      </c>
      <c r="AW502" t="str">
        <f>IF(AV502=1,SUM($AV$5:AV502),"")</f>
        <v/>
      </c>
      <c r="AX502" t="str">
        <f>IF(AV502=1,SUMIFS($R$5:$R$504,$D$5:$D$504,D502,$AU$5:$AU$504,1),"")</f>
        <v/>
      </c>
    </row>
    <row r="503">
      <c r="A503" s="20" t="str">
        <f>IF(AG503=1,ROW()-4,"")</f>
        <v/>
      </c>
      <c r="B503" s="21" t="n"/>
      <c r="C503" s="22" t="n"/>
      <c r="D503" s="21" t="n"/>
      <c r="E503" s="22" t="n"/>
      <c r="F503" s="23" t="n"/>
      <c r="G503" s="23" t="n"/>
      <c r="H503" s="23" t="n"/>
      <c r="I503" s="24" t="n"/>
      <c r="J503" s="25" t="n"/>
      <c r="K503" s="25" t="n"/>
      <c r="L503" s="25" t="n"/>
      <c r="M503" s="25" t="n"/>
      <c r="N503" s="26" t="n"/>
      <c r="O503" s="26" t="n"/>
      <c r="P503" s="27" t="str">
        <f>IF(OR(J503="",K503="",I503="",AF503=0,AD503=""),"",(K503-J503)*AF503*I503*AD503*AE503)</f>
        <v/>
      </c>
      <c r="Q503" s="26" t="n"/>
      <c r="R503" s="28" t="str">
        <f>IF(Q503&lt;&gt;"",Q503,IF(P503="","",P503-N(N503)+N(O503)))</f>
        <v/>
      </c>
      <c r="S503" s="27" t="str">
        <f>IF(OR(L503="",J503="",I503="",AD503=""),"",ABS(J503-L503)*I503*AD503*AE503)</f>
        <v/>
      </c>
      <c r="T503" s="29" t="str">
        <f>IF(OR(R503="",S503="",S503=0),"",R503/S503)</f>
        <v/>
      </c>
      <c r="U503" s="20" t="str">
        <f>IF(R503="","",IF(R503&gt;0,"Ganadora",IF(R503&lt;0,"Perdedora","BE")))</f>
        <v/>
      </c>
      <c r="V503" s="23" t="n"/>
      <c r="W503" s="23" t="n"/>
      <c r="X503" s="23" t="n"/>
      <c r="Y503" s="23" t="n"/>
      <c r="Z503" s="23" t="n"/>
      <c r="AA503" s="23" t="n"/>
      <c r="AB503" s="30" t="n"/>
      <c r="AC503" s="1" t="n"/>
      <c r="AD503" s="1" t="str">
        <f>IF(G503="","",IFERROR(INDEX('Listas'!$N$6:$N$35,MATCH(G503,'Listas'!$M$6:$M$35,0)),""))</f>
        <v/>
      </c>
      <c r="AE503">
        <f>IF(G503="",1,IFERROR(INDEX('Listas'!$P$6:$P$35,MATCH(G503,'Listas'!$M$6:$M$35,0)),1))</f>
        <v>1</v>
      </c>
      <c r="AF503">
        <f>IF(H503="Compra",1,IF(H503="Venta",-1,0))</f>
        <v>0</v>
      </c>
      <c r="AG503">
        <f>IF(AND(D503&lt;&gt;"",ISNUMBER(R503)),1,0)</f>
        <v>0</v>
      </c>
      <c r="AH503">
        <f>IF(AG503=0,0,IF(OR('Panel'!$D$5="Todas las cuentas",'Panel'!$D$5="",F503='Panel'!$D$5),1,0))</f>
        <v>0</v>
      </c>
      <c r="AI503">
        <f>IF(AH503=0,0,IF(AND(OR('Panel'!$G$5="",D503&gt;='Panel'!$G$5),OR('Panel'!$J$5="",D503&lt;='Panel'!$J$5)),1,0))</f>
        <v>0</v>
      </c>
      <c r="AJ503">
        <f>IF(AI503=1,R503,0)</f>
        <v>0</v>
      </c>
      <c r="AK503" t="str">
        <f>IF(AI503=1,'Panel'!$AB$4+SUM($AJ$5:AJ503),"")</f>
        <v/>
      </c>
      <c r="AL503">
        <f>IF(AI503=0,N(AL502),IF(R503&lt;0,N(AL502)+1,0))</f>
        <v>1</v>
      </c>
      <c r="AM503">
        <f>IF(AI503=0,N(AM502),IF(R503&gt;0,N(AM502)+1,0))</f>
        <v>0</v>
      </c>
      <c r="AN503">
        <f>IF(AI503=1,MAX('Panel'!$AB$4,N(AN502),AK503),N(AN502))</f>
        <v>21371.061500000033</v>
      </c>
      <c r="AO503">
        <f>IF(AI503=1,AN503-AK503,0)</f>
        <v>0</v>
      </c>
      <c r="AP503">
        <f>IF(AND(AI503=1,AN503&gt;0),AO503/AN503,0)</f>
        <v>0</v>
      </c>
      <c r="AQ503" t="str">
        <f>IF(AI503=1,SUM($AI$5:AI503),"")</f>
        <v/>
      </c>
      <c r="AR503" t="str">
        <f>IF(AI503=1,IF(COUNTIFS($D$5:D503,D503,$AI$5:AI503,1)=1,SUMIFS($AJ$5:$AJ$504,$D$5:$D$504,D503),""),"")</f>
        <v/>
      </c>
      <c r="AS503" t="str">
        <f>IF(AG503=1,WEEKDAY(D503,2),"")</f>
        <v/>
      </c>
      <c r="AT503" s="31" t="str">
        <f>IF(AG503=1,DATE(YEAR(D503),MONTH(D503),1),"")</f>
        <v/>
      </c>
      <c r="AU503">
        <f>IF(AG503=0,0,IF(AND(OR('Prop challenge'!$D$7="",F503='Prop challenge'!$D$7),OR('Prop challenge'!$D$9="",D503&gt;='Prop challenge'!$D$9)),1,0))</f>
        <v>0</v>
      </c>
      <c r="AV503">
        <f>IF(AU503=1,IF(COUNTIFS($D$5:D503,D503,$AU$5:AU503,1)=1,1,0),0)</f>
        <v>0</v>
      </c>
      <c r="AW503" t="str">
        <f>IF(AV503=1,SUM($AV$5:AV503),"")</f>
        <v/>
      </c>
      <c r="AX503" t="str">
        <f>IF(AV503=1,SUMIFS($R$5:$R$504,$D$5:$D$504,D503,$AU$5:$AU$504,1),"")</f>
        <v/>
      </c>
    </row>
    <row r="504">
      <c r="A504" s="20" t="str">
        <f>IF(AG504=1,ROW()-4,"")</f>
        <v/>
      </c>
      <c r="B504" s="21" t="n"/>
      <c r="C504" s="22" t="n"/>
      <c r="D504" s="21" t="n"/>
      <c r="E504" s="22" t="n"/>
      <c r="F504" s="23" t="n"/>
      <c r="G504" s="23" t="n"/>
      <c r="H504" s="23" t="n"/>
      <c r="I504" s="24" t="n"/>
      <c r="J504" s="25" t="n"/>
      <c r="K504" s="25" t="n"/>
      <c r="L504" s="25" t="n"/>
      <c r="M504" s="25" t="n"/>
      <c r="N504" s="26" t="n"/>
      <c r="O504" s="26" t="n"/>
      <c r="P504" s="27" t="str">
        <f>IF(OR(J504="",K504="",I504="",AF504=0,AD504=""),"",(K504-J504)*AF504*I504*AD504*AE504)</f>
        <v/>
      </c>
      <c r="Q504" s="26" t="n"/>
      <c r="R504" s="28" t="str">
        <f>IF(Q504&lt;&gt;"",Q504,IF(P504="","",P504-N(N504)+N(O504)))</f>
        <v/>
      </c>
      <c r="S504" s="27" t="str">
        <f>IF(OR(L504="",J504="",I504="",AD504=""),"",ABS(J504-L504)*I504*AD504*AE504)</f>
        <v/>
      </c>
      <c r="T504" s="29" t="str">
        <f>IF(OR(R504="",S504="",S504=0),"",R504/S504)</f>
        <v/>
      </c>
      <c r="U504" s="20" t="str">
        <f>IF(R504="","",IF(R504&gt;0,"Ganadora",IF(R504&lt;0,"Perdedora","BE")))</f>
        <v/>
      </c>
      <c r="V504" s="23" t="n"/>
      <c r="W504" s="23" t="n"/>
      <c r="X504" s="23" t="n"/>
      <c r="Y504" s="23" t="n"/>
      <c r="Z504" s="23" t="n"/>
      <c r="AA504" s="23" t="n"/>
      <c r="AB504" s="30" t="n"/>
      <c r="AC504" s="1" t="n"/>
      <c r="AD504" s="1" t="str">
        <f>IF(G504="","",IFERROR(INDEX('Listas'!$N$6:$N$35,MATCH(G504,'Listas'!$M$6:$M$35,0)),""))</f>
        <v/>
      </c>
      <c r="AE504">
        <f>IF(G504="",1,IFERROR(INDEX('Listas'!$P$6:$P$35,MATCH(G504,'Listas'!$M$6:$M$35,0)),1))</f>
        <v>1</v>
      </c>
      <c r="AF504">
        <f>IF(H504="Compra",1,IF(H504="Venta",-1,0))</f>
        <v>0</v>
      </c>
      <c r="AG504">
        <f>IF(AND(D504&lt;&gt;"",ISNUMBER(R504)),1,0)</f>
        <v>0</v>
      </c>
      <c r="AH504">
        <f>IF(AG504=0,0,IF(OR('Panel'!$D$5="Todas las cuentas",'Panel'!$D$5="",F504='Panel'!$D$5),1,0))</f>
        <v>0</v>
      </c>
      <c r="AI504">
        <f>IF(AH504=0,0,IF(AND(OR('Panel'!$G$5="",D504&gt;='Panel'!$G$5),OR('Panel'!$J$5="",D504&lt;='Panel'!$J$5)),1,0))</f>
        <v>0</v>
      </c>
      <c r="AJ504">
        <f>IF(AI504=1,R504,0)</f>
        <v>0</v>
      </c>
      <c r="AK504" t="str">
        <f>IF(AI504=1,'Panel'!$AB$4+SUM($AJ$5:AJ504),"")</f>
        <v/>
      </c>
      <c r="AL504">
        <f>IF(AI504=0,N(AL503),IF(R504&lt;0,N(AL503)+1,0))</f>
        <v>1</v>
      </c>
      <c r="AM504">
        <f>IF(AI504=0,N(AM503),IF(R504&gt;0,N(AM503)+1,0))</f>
        <v>0</v>
      </c>
      <c r="AN504">
        <f>IF(AI504=1,MAX('Panel'!$AB$4,N(AN503),AK504),N(AN503))</f>
        <v>21371.061500000033</v>
      </c>
      <c r="AO504">
        <f>IF(AI504=1,AN504-AK504,0)</f>
        <v>0</v>
      </c>
      <c r="AP504">
        <f>IF(AND(AI504=1,AN504&gt;0),AO504/AN504,0)</f>
        <v>0</v>
      </c>
      <c r="AQ504" t="str">
        <f>IF(AI504=1,SUM($AI$5:AI504),"")</f>
        <v/>
      </c>
      <c r="AR504" t="str">
        <f>IF(AI504=1,IF(COUNTIFS($D$5:D504,D504,$AI$5:AI504,1)=1,SUMIFS($AJ$5:$AJ$504,$D$5:$D$504,D504),""),"")</f>
        <v/>
      </c>
      <c r="AS504" t="str">
        <f>IF(AG504=1,WEEKDAY(D504,2),"")</f>
        <v/>
      </c>
      <c r="AT504" s="31" t="str">
        <f>IF(AG504=1,DATE(YEAR(D504),MONTH(D504),1),"")</f>
        <v/>
      </c>
      <c r="AU504">
        <f>IF(AG504=0,0,IF(AND(OR('Prop challenge'!$D$7="",F504='Prop challenge'!$D$7),OR('Prop challenge'!$D$9="",D504&gt;='Prop challenge'!$D$9)),1,0))</f>
        <v>0</v>
      </c>
      <c r="AV504">
        <f>IF(AU504=1,IF(COUNTIFS($D$5:D504,D504,$AU$5:AU504,1)=1,1,0),0)</f>
        <v>0</v>
      </c>
      <c r="AW504" t="str">
        <f>IF(AV504=1,SUM($AV$5:AV504),"")</f>
        <v/>
      </c>
      <c r="AX504" t="str">
        <f>IF(AV504=1,SUMIFS($R$5:$R$504,$D$5:$D$504,D504,$AU$5:$AU$504,1),"")</f>
        <v/>
      </c>
    </row>
    <row r="505">
      <c r="A505" s="1" t="n"/>
      <c r="B505" s="1" t="n"/>
      <c r="C505" s="1" t="n"/>
      <c r="D505" s="1" t="n"/>
      <c r="E505" s="1" t="n"/>
      <c r="F505" s="1" t="n"/>
      <c r="G505" s="1" t="n"/>
      <c r="H505" s="1" t="n"/>
      <c r="I505" s="1" t="n"/>
      <c r="J505" s="1" t="n"/>
      <c r="K505" s="1" t="n"/>
      <c r="L505" s="1" t="n"/>
      <c r="M505" s="1" t="n"/>
      <c r="N505" s="1" t="n"/>
      <c r="O505" s="1" t="n"/>
      <c r="P505" s="1" t="n"/>
      <c r="Q505" s="1" t="n"/>
      <c r="R505" s="1" t="n"/>
      <c r="S505" s="1" t="n"/>
      <c r="T505" s="1" t="n"/>
      <c r="U505" s="1" t="n"/>
      <c r="V505" s="1" t="n"/>
      <c r="W505" s="1" t="n"/>
      <c r="X505" s="1" t="n"/>
      <c r="Y505" s="1" t="n"/>
      <c r="Z505" s="1" t="n"/>
      <c r="AA505" s="1" t="n"/>
      <c r="AB505" s="1" t="n"/>
      <c r="AC505" s="1" t="n"/>
      <c r="AD505" s="1" t="n"/>
    </row>
    <row r="506">
      <c r="A506" s="1" t="n"/>
      <c r="B506" s="1" t="n"/>
      <c r="C506" s="1" t="n"/>
      <c r="D506" s="1" t="n"/>
      <c r="E506" s="1" t="n"/>
      <c r="F506" s="1" t="n"/>
      <c r="G506" s="1" t="n"/>
      <c r="H506" s="1" t="n"/>
      <c r="I506" s="1" t="n"/>
      <c r="J506" s="1" t="n"/>
      <c r="K506" s="1" t="n"/>
      <c r="L506" s="1" t="n"/>
      <c r="M506" s="1" t="n"/>
      <c r="N506" s="1" t="n"/>
      <c r="O506" s="1" t="n"/>
      <c r="P506" s="1" t="n"/>
      <c r="Q506" s="1" t="n"/>
      <c r="R506" s="1" t="n"/>
      <c r="S506" s="1" t="n"/>
      <c r="T506" s="1" t="n"/>
      <c r="U506" s="1" t="n"/>
      <c r="V506" s="1" t="n"/>
      <c r="W506" s="1" t="n"/>
      <c r="X506" s="1" t="n"/>
      <c r="Y506" s="1" t="n"/>
      <c r="Z506" s="1" t="n"/>
      <c r="AA506" s="1" t="n"/>
      <c r="AB506" s="1" t="n"/>
      <c r="AC506" s="1" t="n"/>
      <c r="AD506" s="1" t="n"/>
    </row>
  </sheetData>
  <autoFilter ref="A4:AB504"/>
  <conditionalFormatting sqref="P5:R504">
    <cfRule type="expression" priority="1" dxfId="0">
      <formula>AND(ISNUMBER(P5),P5&gt;0)</formula>
    </cfRule>
    <cfRule type="expression" priority="2" dxfId="1">
      <formula>AND(ISNUMBER(P5),P5&lt;0)</formula>
    </cfRule>
  </conditionalFormatting>
  <conditionalFormatting sqref="T5:T504">
    <cfRule type="expression" priority="3" dxfId="0">
      <formula>AND(ISNUMBER(T5),T5&gt;0)</formula>
    </cfRule>
    <cfRule type="expression" priority="4" dxfId="1">
      <formula>AND(ISNUMBER(T5),T5&lt;0)</formula>
    </cfRule>
  </conditionalFormatting>
  <conditionalFormatting sqref="U5:U504">
    <cfRule type="expression" priority="5" dxfId="0">
      <formula>U5="Ganadora"</formula>
    </cfRule>
    <cfRule type="expression" priority="6" dxfId="1">
      <formula>U5="Perdedora"</formula>
    </cfRule>
  </conditionalFormatting>
  <dataValidations count="8">
    <dataValidation sqref="H5:H504" showDropDown="0" showInputMessage="0" showErrorMessage="0" allowBlank="1" type="list">
      <formula1>"Compra,Venta"</formula1>
    </dataValidation>
    <dataValidation sqref="Z5:Z504" showDropDown="0" showInputMessage="0" showErrorMessage="0" allowBlank="1" type="list">
      <formula1>"Sí,No"</formula1>
    </dataValidation>
    <dataValidation sqref="F5:F504" showDropDown="0" showInputMessage="0" showErrorMessage="0" allowBlank="1" type="list">
      <formula1>'Listas'!$J$7:$J$16</formula1>
    </dataValidation>
    <dataValidation sqref="G5:G504" showDropDown="0" showInputMessage="1" showErrorMessage="0" allowBlank="1" prompt="Elige un símbolo de la hoja Listas, o añádelo allí primero para que se calcule el P&amp;L." type="list">
      <formula1>'Listas'!$M$6:$M$35</formula1>
    </dataValidation>
    <dataValidation sqref="V5:V504" showDropDown="0" showInputMessage="0" showErrorMessage="0" allowBlank="1" type="list">
      <formula1>'Listas'!$B$6:$B$25</formula1>
    </dataValidation>
    <dataValidation sqref="W5:W504" showDropDown="0" showInputMessage="0" showErrorMessage="0" allowBlank="1" type="list">
      <formula1>'Listas'!$F$6:$F$13</formula1>
    </dataValidation>
    <dataValidation sqref="X5:X504" showDropDown="0" showInputMessage="0" showErrorMessage="0" allowBlank="1" type="list">
      <formula1>'Listas'!$D$6:$D$25</formula1>
    </dataValidation>
    <dataValidation sqref="Y5:Y504" showDropDown="0" showInputMessage="0" showErrorMessage="0" allowBlank="1" type="list">
      <formula1>'Listas'!$H$6:$H$17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A1A1AA"/>
    <outlinePr summaryBelow="1" summaryRight="1"/>
    <pageSetUpPr/>
  </sheetPr>
  <dimension ref="A1:AE505"/>
  <sheetViews>
    <sheetView showGridLines="0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5" customWidth="1" min="2" max="2"/>
    <col width="13" customWidth="1" min="3" max="3"/>
    <col width="2" customWidth="1" min="4" max="4"/>
    <col width="15" customWidth="1" min="5" max="5"/>
    <col width="13" customWidth="1" min="6" max="6"/>
    <col width="2" customWidth="1" min="7" max="7"/>
    <col width="15" customWidth="1" min="8" max="8"/>
    <col width="13" customWidth="1" min="9" max="9"/>
    <col width="2" customWidth="1" min="10" max="10"/>
    <col width="15" customWidth="1" min="11" max="11"/>
    <col width="13" customWidth="1" min="12" max="12"/>
    <col width="2" customWidth="1" min="13" max="13"/>
    <col hidden="1" width="13" customWidth="1" min="27" max="27"/>
    <col hidden="1" width="13" customWidth="1" min="28" max="28"/>
    <col hidden="1" width="13" customWidth="1" min="30" max="30"/>
    <col hidden="1" width="13" customWidth="1" min="31" max="31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</row>
    <row r="2" ht="30" customHeight="1">
      <c r="A2" s="1" t="n"/>
      <c r="B2" s="15" t="inlineStr">
        <is>
          <t>Panel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</row>
    <row r="3">
      <c r="A3" s="1" t="n"/>
      <c r="B3" s="16" t="str">
        <f>"Operaciones cerradas del Diario. Importes en "&amp;'Inicio'!$D$9</f>
        <v>Operaciones cerradas del Diario. Importes en USD</v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8" t="inlineStr">
        <is>
          <t>start_balance</t>
        </is>
      </c>
      <c r="AB4" s="1">
        <f>IF(OR($D$5="Todas las cuentas",$D$5=""),SUM('Listas'!$K$7:$K$16),IFERROR(INDEX('Listas'!$K$7:$K$16,MATCH($D$5,'Listas'!$J$7:$J$16,0)),0))</f>
        <v>20000</v>
      </c>
      <c r="AC4" s="1" t="n"/>
      <c r="AD4" s="18" t="inlineStr">
        <is>
          <t>k</t>
        </is>
      </c>
      <c r="AE4" s="19" t="inlineStr">
        <is>
          <t>equity</t>
        </is>
      </c>
    </row>
    <row r="5">
      <c r="A5" s="1" t="n"/>
      <c r="B5" s="32" t="inlineStr">
        <is>
          <t>Cuenta</t>
        </is>
      </c>
      <c r="C5" s="33" t="n"/>
      <c r="D5" s="34" t="inlineStr">
        <is>
          <t>Todas las cuentas</t>
        </is>
      </c>
      <c r="F5" s="32" t="inlineStr">
        <is>
          <t>Desde</t>
        </is>
      </c>
      <c r="G5" s="35" t="n"/>
      <c r="H5" s="1" t="n"/>
      <c r="I5" s="32" t="inlineStr">
        <is>
          <t>Hasta</t>
        </is>
      </c>
      <c r="J5" s="35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8" t="inlineStr">
        <is>
          <t>trades</t>
        </is>
      </c>
      <c r="AB5" s="1">
        <f>SUM('Diario'!$AI$5:$AI$504)</f>
        <v>30</v>
      </c>
      <c r="AC5" s="1" t="n"/>
      <c r="AD5" s="1" t="n">
        <v>0</v>
      </c>
      <c r="AE5">
        <f>$AB$4</f>
        <v>20000</v>
      </c>
    </row>
    <row r="6">
      <c r="A6" s="1" t="n"/>
      <c r="B6" s="14" t="inlineStr">
        <is>
          <t>Deja Desde y Hasta vacíos para todas las fechas. El calendario solo usa el filtro de cuenta.</t>
        </is>
      </c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8" t="inlineStr">
        <is>
          <t>wins</t>
        </is>
      </c>
      <c r="AB6" s="1">
        <f>COUNTIFS('Diario'!$AI$5:$AI$504,1,'Diario'!$R$5:$R$504,"&gt;0")</f>
        <v>15</v>
      </c>
      <c r="AC6" s="1" t="n"/>
      <c r="AD6" s="1" t="n">
        <v>1</v>
      </c>
      <c r="AE6">
        <f>IF(1&gt;$AB$5,NA(),INDEX('Diario'!$AK$5:$AK$504,MATCH(1,'Diario'!$AQ$5:$AQ$504,0)))</f>
        <v>20197.200000000004</v>
      </c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8" t="inlineStr">
        <is>
          <t>losses</t>
        </is>
      </c>
      <c r="AB7" s="1">
        <f>COUNTIFS('Diario'!$AI$5:$AI$504,1,'Diario'!$R$5:$R$504,"&lt;0")</f>
        <v>15</v>
      </c>
      <c r="AC7" s="1" t="n"/>
      <c r="AD7" s="1" t="n">
        <v>2</v>
      </c>
      <c r="AE7">
        <f>IF(2&gt;$AB$5,NA(),INDEX('Diario'!$AK$5:$AK$504,MATCH(2,'Diario'!$AQ$5:$AQ$504,0)))</f>
        <v>20093.700000000015</v>
      </c>
    </row>
    <row r="8" ht="18" customHeight="1">
      <c r="A8" s="1" t="n"/>
      <c r="B8" s="36" t="inlineStr">
        <is>
          <t>P&amp;L neto</t>
        </is>
      </c>
      <c r="D8" s="1" t="n"/>
      <c r="E8" s="36" t="inlineStr">
        <is>
          <t>% de acierto</t>
        </is>
      </c>
      <c r="G8" s="1" t="n"/>
      <c r="H8" s="36" t="inlineStr">
        <is>
          <t>Profit factor</t>
        </is>
      </c>
      <c r="J8" s="1" t="n"/>
      <c r="K8" s="36" t="inlineStr">
        <is>
          <t>Ratio payoff</t>
        </is>
      </c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8" t="inlineStr">
        <is>
          <t>gp</t>
        </is>
      </c>
      <c r="AB8" s="1">
        <f>SUMIFS('Diario'!$R$5:$R$504,'Diario'!$AI$5:$AI$504,1,'Diario'!$R$5:$R$504,"&gt;0")</f>
        <v>2563.2000000000135</v>
      </c>
      <c r="AC8" s="1" t="n"/>
      <c r="AD8" s="1" t="n">
        <v>3</v>
      </c>
      <c r="AE8">
        <f>IF(3&gt;$AB$5,NA(),INDEX('Diario'!$AK$5:$AK$504,MATCH(3,'Diario'!$AQ$5:$AQ$504,0)))</f>
        <v>20240.20000000001</v>
      </c>
    </row>
    <row r="9" ht="26" customHeight="1">
      <c r="A9" s="1" t="n"/>
      <c r="B9" s="37">
        <f>$AB$10</f>
        <v>1281.0615000000337</v>
      </c>
      <c r="D9" s="1" t="n"/>
      <c r="E9" s="38">
        <f>IF($AB$6+$AB$7=0,"",$AB$6/($AB$6+$AB$7))</f>
        <v>0.5</v>
      </c>
      <c r="G9" s="1" t="n"/>
      <c r="H9" s="39">
        <f>IF($AB$9=0,"",$AB$8/$AB$9)</f>
        <v>1.999159997145436</v>
      </c>
      <c r="J9" s="1" t="n"/>
      <c r="K9" s="39">
        <f>IF(OR($AB$6=0,$AB$7=0),"",($AB$8/$AB$6)/($AB$9/$AB$7))</f>
        <v>1.9991599971454357</v>
      </c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8" t="inlineStr">
        <is>
          <t>gl</t>
        </is>
      </c>
      <c r="AB9" s="1">
        <f>-SUMIFS('Diario'!$R$5:$R$504,'Diario'!$AI$5:$AI$504,1,'Diario'!$R$5:$R$504,"&lt;0")</f>
        <v>1282.13849999998</v>
      </c>
      <c r="AC9" s="1" t="n"/>
      <c r="AD9" s="1" t="n">
        <v>4</v>
      </c>
      <c r="AE9">
        <f>IF(4&gt;$AB$5,NA(),INDEX('Diario'!$AK$5:$AK$504,MATCH(4,'Diario'!$AQ$5:$AQ$504,0)))</f>
        <v>20150.20000000001</v>
      </c>
    </row>
    <row r="10" ht="16" customHeight="1">
      <c r="A10" s="1" t="n"/>
      <c r="B10" s="40" t="str">
        <f>TEXT($AB$5,"0")&amp;" operaciones"</f>
        <v>30 operaciones</v>
      </c>
      <c r="D10" s="1" t="n"/>
      <c r="E10" s="40" t="str">
        <f>$AB$6&amp;" G · "&amp;$AB$7&amp;" P"</f>
        <v>15 G · 15 P</v>
      </c>
      <c r="G10" s="1" t="n"/>
      <c r="H10" s="40" t="str">
        <f>"beneficio bruto ÷ pérdida bruta"</f>
        <v>beneficio bruto ÷ pérdida bruta</v>
      </c>
      <c r="J10" s="1" t="n"/>
      <c r="K10" s="40" t="str">
        <f>"ganancia media ÷ pérdida media"</f>
        <v>ganancia media ÷ pérdida media</v>
      </c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8" t="inlineStr">
        <is>
          <t>net</t>
        </is>
      </c>
      <c r="AB10" s="1">
        <f>SUM('Diario'!$AJ$5:$AJ$504)</f>
        <v>1281.0615000000337</v>
      </c>
      <c r="AC10" s="1" t="n"/>
      <c r="AD10" s="1" t="n">
        <v>5</v>
      </c>
      <c r="AE10">
        <f>IF(5&gt;$AB$5,NA(),INDEX('Diario'!$AK$5:$AK$504,MATCH(5,'Diario'!$AQ$5:$AQ$504,0)))</f>
        <v>20146.70000000001</v>
      </c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8" t="inlineStr">
        <is>
          <t>green</t>
        </is>
      </c>
      <c r="AB11" s="1">
        <f>COUNTIF('Diario'!$AR$5:$AR$504,"&gt;0")</f>
        <v>15</v>
      </c>
      <c r="AC11" s="1" t="n"/>
      <c r="AD11" s="1" t="n">
        <v>6</v>
      </c>
      <c r="AE11">
        <f>IF(6&gt;$AB$5,NA(),INDEX('Diario'!$AK$5:$AK$504,MATCH(6,'Diario'!$AQ$5:$AQ$504,0)))</f>
        <v>20403.90000000001</v>
      </c>
    </row>
    <row r="12" ht="18" customHeight="1">
      <c r="A12" s="1" t="n"/>
      <c r="B12" s="36" t="inlineStr">
        <is>
          <t>Esperanza</t>
        </is>
      </c>
      <c r="D12" s="1" t="n"/>
      <c r="E12" s="36" t="inlineStr">
        <is>
          <t>R medio</t>
        </is>
      </c>
      <c r="G12" s="1" t="n"/>
      <c r="H12" s="36" t="inlineStr">
        <is>
          <t>Drawdown máx.</t>
        </is>
      </c>
      <c r="J12" s="1" t="n"/>
      <c r="K12" s="36" t="inlineStr">
        <is>
          <t>Ganancia media</t>
        </is>
      </c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8" t="inlineStr">
        <is>
          <t>red</t>
        </is>
      </c>
      <c r="AB12" s="1">
        <f>COUNTIF('Diario'!$AR$5:$AR$504,"&lt;0")</f>
        <v>15</v>
      </c>
      <c r="AC12" s="1" t="n"/>
      <c r="AD12" s="1" t="n">
        <v>7</v>
      </c>
      <c r="AE12">
        <f>IF(7&gt;$AB$5,NA(),INDEX('Diario'!$AK$5:$AK$504,MATCH(7,'Diario'!$AQ$5:$AQ$504,0)))</f>
        <v>20352.947500000017</v>
      </c>
    </row>
    <row r="13" ht="26" customHeight="1">
      <c r="A13" s="1" t="n"/>
      <c r="B13" s="37">
        <f>IF($AB$5=0,"",$AB$10/$AB$5)</f>
        <v>42.70205000000112</v>
      </c>
      <c r="D13" s="1" t="n"/>
      <c r="E13" s="41">
        <f>IFERROR(AVERAGEIFS('Diario'!$T$5:$T$504,'Diario'!$AI$5:$AI$504,1),"")</f>
        <v>0.43027473438351793</v>
      </c>
      <c r="G13" s="1" t="n"/>
      <c r="H13" s="37">
        <f>-MAX('Diario'!$AO$5:$AO$504)</f>
        <v>-220.1860000000015</v>
      </c>
      <c r="J13" s="1" t="n"/>
      <c r="K13" s="37">
        <f>IF($AB$6=0,"",$AB$8/$AB$6)</f>
        <v>170.8800000000009</v>
      </c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8" t="inlineStr">
        <is>
          <t>followed</t>
        </is>
      </c>
      <c r="AB13" s="1">
        <f>COUNTIFS('Diario'!$AI$5:$AI$504,1,'Diario'!$Z$5:$Z$504,"Sí")</f>
        <v>24</v>
      </c>
      <c r="AC13" s="1" t="n"/>
      <c r="AD13" s="1" t="n">
        <v>8</v>
      </c>
      <c r="AE13">
        <f>IF(8&gt;$AB$5,NA(),INDEX('Diario'!$AK$5:$AK$504,MATCH(8,'Diario'!$AQ$5:$AQ$504,0)))</f>
        <v>20262.947500000017</v>
      </c>
    </row>
    <row r="14" ht="16" customHeight="1">
      <c r="A14" s="1" t="n"/>
      <c r="B14" s="40" t="str">
        <f>"resultado medio por operación"</f>
        <v>resultado medio por operación</v>
      </c>
      <c r="D14" s="1" t="n"/>
      <c r="E14" s="40" t="str">
        <f>"operaciones con stop loss"</f>
        <v>operaciones con stop loss</v>
      </c>
      <c r="G14" s="1" t="n"/>
      <c r="H14" s="40" t="str">
        <f>IF('Panel'!$AB$4&gt;0,TEXT(MAX('Diario'!$AP$5:$AP$504),"0.0%")&amp;" desde el máximo","")</f>
        <v>1.0% desde el máximo</v>
      </c>
      <c r="J14" s="1" t="n"/>
      <c r="K14" s="40" t="str">
        <f>IF($AB$7=0,"","pérdida media "&amp;TEXT(-$AB$9/$AB$7,"#,##0.00"))</f>
        <v>pérdida media -85.48</v>
      </c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8" t="inlineStr">
        <is>
          <t>answered</t>
        </is>
      </c>
      <c r="AB14" s="1">
        <f>COUNTIFS('Diario'!$AI$5:$AI$504,1,'Diario'!$Z$5:$Z$504,"Sí")+COUNTIFS('Diario'!$AI$5:$AI$504,1,'Diario'!$Z$5:$Z$504,"No")</f>
        <v>30</v>
      </c>
      <c r="AC14" s="1" t="n"/>
      <c r="AD14" s="1" t="n">
        <v>9</v>
      </c>
      <c r="AE14">
        <f>IF(9&gt;$AB$5,NA(),INDEX('Diario'!$AK$5:$AK$504,MATCH(9,'Diario'!$AQ$5:$AQ$504,0)))</f>
        <v>20379.447500000024</v>
      </c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>
        <v>10</v>
      </c>
      <c r="AE15">
        <f>IF(10&gt;$AB$5,NA(),INDEX('Diario'!$AK$5:$AK$504,MATCH(10,'Diario'!$AQ$5:$AQ$504,0)))</f>
        <v>20667.447500000024</v>
      </c>
    </row>
    <row r="16" ht="18" customHeight="1">
      <c r="A16" s="1" t="n"/>
      <c r="B16" s="36" t="inlineStr">
        <is>
          <t>Mayor ganancia</t>
        </is>
      </c>
      <c r="D16" s="1" t="n"/>
      <c r="E16" s="36" t="inlineStr">
        <is>
          <t>Mayor pérdida</t>
        </is>
      </c>
      <c r="G16" s="1" t="n"/>
      <c r="H16" s="36" t="inlineStr">
        <is>
          <t>Mejor día</t>
        </is>
      </c>
      <c r="J16" s="1" t="n"/>
      <c r="K16" s="36" t="inlineStr">
        <is>
          <t>Peor día</t>
        </is>
      </c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>
        <v>11</v>
      </c>
      <c r="AE16">
        <f>IF(11&gt;$AB$5,NA(),INDEX('Diario'!$AK$5:$AK$504,MATCH(11,'Diario'!$AQ$5:$AQ$504,0)))</f>
        <v>20564.64750000003</v>
      </c>
    </row>
    <row r="17" ht="26" customHeight="1">
      <c r="A17" s="1" t="n"/>
      <c r="B17" s="37">
        <f>IF($AB$6=0,"",_xlfn.MAXIFS('Diario'!$R$5:$R$504,'Diario'!$AI$5:$AI$504,1))</f>
        <v>288</v>
      </c>
      <c r="D17" s="1" t="n"/>
      <c r="E17" s="37">
        <f>IF($AB$7=0,"",_xlfn.MINIFS('Diario'!$R$5:$R$504,'Diario'!$AI$5:$AI$504,1))</f>
        <v>-117.38600000000433</v>
      </c>
      <c r="G17" s="1" t="n"/>
      <c r="H17" s="37">
        <f>IF(COUNT('Diario'!$AR$5:$AR$504)=0,"",MAX('Diario'!$AR$5:$AR$504))</f>
        <v>288</v>
      </c>
      <c r="J17" s="1" t="n"/>
      <c r="K17" s="37">
        <f>IF(COUNT('Diario'!$AR$5:$AR$504)=0,"",MIN('Diario'!$AR$5:$AR$504))</f>
        <v>-117.38600000000433</v>
      </c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>
        <v>12</v>
      </c>
      <c r="AE17">
        <f>IF(12&gt;$AB$5,NA(),INDEX('Diario'!$AK$5:$AK$504,MATCH(12,'Diario'!$AQ$5:$AQ$504,0)))</f>
        <v>20726.64750000003</v>
      </c>
    </row>
    <row r="18" ht="16" customHeight="1">
      <c r="A18" s="1" t="n"/>
      <c r="B18" s="40" t="str">
        <f>""</f>
        <v/>
      </c>
      <c r="D18" s="1" t="n"/>
      <c r="E18" s="40" t="str">
        <f>""</f>
        <v/>
      </c>
      <c r="G18" s="1" t="n"/>
      <c r="H18" s="40" t="str">
        <f>""</f>
        <v/>
      </c>
      <c r="J18" s="1" t="n"/>
      <c r="K18" s="40" t="str">
        <f>""</f>
        <v/>
      </c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>
        <v>13</v>
      </c>
      <c r="AE18">
        <f>IF(13&gt;$AB$5,NA(),INDEX('Diario'!$AK$5:$AK$504,MATCH(13,'Diario'!$AQ$5:$AQ$504,0)))</f>
        <v>20623.84750000003</v>
      </c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>
        <v>14</v>
      </c>
      <c r="AE19">
        <f>IF(14&gt;$AB$5,NA(),INDEX('Diario'!$AK$5:$AK$504,MATCH(14,'Diario'!$AQ$5:$AQ$504,0)))</f>
        <v>20533.84750000003</v>
      </c>
    </row>
    <row r="20" ht="18" customHeight="1">
      <c r="A20" s="1" t="n"/>
      <c r="B20" s="36" t="inlineStr">
        <is>
          <t>% de días ganadores</t>
        </is>
      </c>
      <c r="D20" s="1" t="n"/>
      <c r="E20" s="36" t="inlineStr">
        <is>
          <t>Racha perdedora más larga</t>
        </is>
      </c>
      <c r="G20" s="1" t="n"/>
      <c r="H20" s="36" t="inlineStr">
        <is>
          <t>Comisión y swap</t>
        </is>
      </c>
      <c r="J20" s="1" t="n"/>
      <c r="K20" s="36" t="inlineStr">
        <is>
          <t>Seguí el plan</t>
        </is>
      </c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8" t="inlineStr">
        <is>
          <t>last_month</t>
        </is>
      </c>
      <c r="AB20" s="1">
        <f>IFERROR(_xlfn.MAXIFS('Diario'!$AT$5:$AT$504,'Diario'!$AI$5:$AI$504,1),0)</f>
        <v>46296</v>
      </c>
      <c r="AC20" s="1" t="n"/>
      <c r="AD20" s="1" t="n">
        <v>15</v>
      </c>
      <c r="AE20">
        <f>IF(15&gt;$AB$5,NA(),INDEX('Diario'!$AK$5:$AK$504,MATCH(15,'Diario'!$AQ$5:$AQ$504,0)))</f>
        <v>20745.04750000003</v>
      </c>
    </row>
    <row r="21" ht="26" customHeight="1">
      <c r="A21" s="1" t="n"/>
      <c r="B21" s="38">
        <f>IF($AB$11+$AB$12=0,"",$AB$11/($AB$11+$AB$12))</f>
        <v>0.5</v>
      </c>
      <c r="D21" s="1" t="n"/>
      <c r="E21" s="42">
        <f>MAX('Diario'!$AL$5:$AL$504)</f>
        <v>2</v>
      </c>
      <c r="G21" s="1" t="n"/>
      <c r="H21" s="37">
        <f>SUMIFS('Diario'!$O$5:$O$504,'Diario'!$AI$5:$AI$504,1)-SUMIFS('Diario'!$N$5:$N$504,'Diario'!$AI$5:$AI$504,1)</f>
        <v>-58.79999999999999</v>
      </c>
      <c r="J21" s="1" t="n"/>
      <c r="K21" s="38">
        <f>IF($AB$14=0,"",$AB$13/$AB$14)</f>
        <v>0.8</v>
      </c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>
        <v>16</v>
      </c>
      <c r="AE21">
        <f>IF(16&gt;$AB$5,NA(),INDEX('Diario'!$AK$5:$AK$504,MATCH(16,'Diario'!$AQ$5:$AQ$504,0)))</f>
        <v>20821.54750000003</v>
      </c>
    </row>
    <row r="22" ht="16" customHeight="1">
      <c r="A22" s="1" t="n"/>
      <c r="B22" s="40" t="str">
        <f>$AB$11&amp;" verdes · "&amp;$AB$12&amp;" rojos"</f>
        <v>15 verdes · 15 rojos</v>
      </c>
      <c r="D22" s="1" t="n"/>
      <c r="E22" s="40" t="str">
        <f>"racha ganadora más larga "&amp;MAX('Diario'!$AM$5:$AM$504)</f>
        <v>racha ganadora más larga 2</v>
      </c>
      <c r="G22" s="1" t="n"/>
      <c r="H22" s="40" t="str">
        <f>"swap menos comisión"</f>
        <v>swap menos comisión</v>
      </c>
      <c r="J22" s="1" t="n"/>
      <c r="K22" s="40" t="str">
        <f>$AB$13&amp;" / "&amp;$AB$14&amp;" operaciones"</f>
        <v>24 / 30 operaciones</v>
      </c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>
        <v>17</v>
      </c>
      <c r="AE22">
        <f>IF(17&gt;$AB$5,NA(),INDEX('Diario'!$AK$5:$AK$504,MATCH(17,'Diario'!$AQ$5:$AQ$504,0)))</f>
        <v>20718.747500000034</v>
      </c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>
        <v>18</v>
      </c>
      <c r="AE23">
        <f>IF(18&gt;$AB$5,NA(),INDEX('Diario'!$AK$5:$AK$504,MATCH(18,'Diario'!$AQ$5:$AQ$504,0)))</f>
        <v>20862.747500000034</v>
      </c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>
        <v>19</v>
      </c>
      <c r="AE24">
        <f>IF(19&gt;$AB$5,NA(),INDEX('Diario'!$AK$5:$AK$504,MATCH(19,'Diario'!$AQ$5:$AQ$504,0)))</f>
        <v>20759.947500000035</v>
      </c>
    </row>
    <row r="25">
      <c r="A25" s="1" t="n"/>
      <c r="B25" s="4" t="inlineStr">
        <is>
          <t>Curva de capital</t>
        </is>
      </c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>
        <v>20</v>
      </c>
      <c r="AE25">
        <f>IF(20&gt;$AB$5,NA(),INDEX('Diario'!$AK$5:$AK$504,MATCH(20,'Diario'!$AQ$5:$AQ$504,0)))</f>
        <v>20939.947500000035</v>
      </c>
    </row>
    <row r="26">
      <c r="A26" s="1" t="n"/>
      <c r="B26" s="11" t="inlineStr">
        <is>
          <t>Saldo tras cada operación cerrada; el primer punto es el saldo inicial.</t>
        </is>
      </c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>
        <v>21</v>
      </c>
      <c r="AE26">
        <f>IF(21&gt;$AB$5,NA(),INDEX('Diario'!$AK$5:$AK$504,MATCH(21,'Diario'!$AQ$5:$AQ$504,0)))</f>
        <v>21035.947500000035</v>
      </c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>
        <v>22</v>
      </c>
      <c r="AE27">
        <f>IF(22&gt;$AB$5,NA(),INDEX('Diario'!$AK$5:$AK$504,MATCH(22,'Diario'!$AQ$5:$AQ$504,0)))</f>
        <v>20918.561500000033</v>
      </c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>
        <v>23</v>
      </c>
      <c r="AE28">
        <f>IF(23&gt;$AB$5,NA(),INDEX('Diario'!$AK$5:$AK$504,MATCH(23,'Diario'!$AQ$5:$AQ$504,0)))</f>
        <v>20815.761500000033</v>
      </c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>
        <v>24</v>
      </c>
      <c r="AE29">
        <f>IF(24&gt;$AB$5,NA(),INDEX('Diario'!$AK$5:$AK$504,MATCH(24,'Diario'!$AQ$5:$AQ$504,0)))</f>
        <v>21052.961500000034</v>
      </c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>
        <v>25</v>
      </c>
      <c r="AE30">
        <f>IF(25&gt;$AB$5,NA(),INDEX('Diario'!$AK$5:$AK$504,MATCH(25,'Diario'!$AQ$5:$AQ$504,0)))</f>
        <v>21109.461500000038</v>
      </c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>
        <v>26</v>
      </c>
      <c r="AE31">
        <f>IF(26&gt;$AB$5,NA(),INDEX('Diario'!$AK$5:$AK$504,MATCH(26,'Diario'!$AQ$5:$AQ$504,0)))</f>
        <v>21019.461500000038</v>
      </c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>
        <v>27</v>
      </c>
      <c r="AE32">
        <f>IF(27&gt;$AB$5,NA(),INDEX('Diario'!$AK$5:$AK$504,MATCH(27,'Diario'!$AQ$5:$AQ$504,0)))</f>
        <v>21206.66150000004</v>
      </c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>
        <v>28</v>
      </c>
      <c r="AE33">
        <f>IF(28&gt;$AB$5,NA(),INDEX('Diario'!$AK$5:$AK$504,MATCH(28,'Diario'!$AQ$5:$AQ$504,0)))</f>
        <v>21163.861500000035</v>
      </c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>
        <v>29</v>
      </c>
      <c r="AE34">
        <f>IF(29&gt;$AB$5,NA(),INDEX('Diario'!$AK$5:$AK$504,MATCH(29,'Diario'!$AQ$5:$AQ$504,0)))</f>
        <v>21371.061500000033</v>
      </c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>
        <v>30</v>
      </c>
      <c r="AE35">
        <f>IF(30&gt;$AB$5,NA(),INDEX('Diario'!$AK$5:$AK$504,MATCH(30,'Diario'!$AQ$5:$AQ$504,0)))</f>
        <v>21281.061500000033</v>
      </c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  <c r="AA36" s="1" t="n"/>
      <c r="AB36" s="1" t="n"/>
      <c r="AC36" s="1" t="n"/>
      <c r="AD36" s="1" t="n">
        <v>31</v>
      </c>
      <c r="AE36" t="e">
        <f>IF(31&gt;$AB$5,NA(),INDEX('Diario'!$AK$5:$AK$504,MATCH(31,'Diario'!$AQ$5:$AQ$504,0)))</f>
        <v>#N/A</v>
      </c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  <c r="AA37" s="1" t="n"/>
      <c r="AB37" s="1" t="n"/>
      <c r="AC37" s="1" t="n"/>
      <c r="AD37" s="1" t="n">
        <v>32</v>
      </c>
      <c r="AE37" t="e">
        <f>IF(32&gt;$AB$5,NA(),INDEX('Diario'!$AK$5:$AK$504,MATCH(32,'Diario'!$AQ$5:$AQ$504,0)))</f>
        <v>#N/A</v>
      </c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>
        <v>33</v>
      </c>
      <c r="AE38" t="e">
        <f>IF(33&gt;$AB$5,NA(),INDEX('Diario'!$AK$5:$AK$504,MATCH(33,'Diario'!$AQ$5:$AQ$504,0)))</f>
        <v>#N/A</v>
      </c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  <c r="AA39" s="1" t="n"/>
      <c r="AB39" s="1" t="n"/>
      <c r="AC39" s="1" t="n"/>
      <c r="AD39" s="1" t="n">
        <v>34</v>
      </c>
      <c r="AE39" t="e">
        <f>IF(34&gt;$AB$5,NA(),INDEX('Diario'!$AK$5:$AK$504,MATCH(34,'Diario'!$AQ$5:$AQ$504,0)))</f>
        <v>#N/A</v>
      </c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  <c r="AA40" s="1" t="n"/>
      <c r="AB40" s="1" t="n"/>
      <c r="AC40" s="1" t="n"/>
      <c r="AD40" s="1" t="n">
        <v>35</v>
      </c>
      <c r="AE40" t="e">
        <f>IF(35&gt;$AB$5,NA(),INDEX('Diario'!$AK$5:$AK$504,MATCH(35,'Diario'!$AQ$5:$AQ$504,0)))</f>
        <v>#N/A</v>
      </c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>
        <v>36</v>
      </c>
      <c r="AE41" t="e">
        <f>IF(36&gt;$AB$5,NA(),INDEX('Diario'!$AK$5:$AK$504,MATCH(36,'Diario'!$AQ$5:$AQ$504,0)))</f>
        <v>#N/A</v>
      </c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>
        <v>37</v>
      </c>
      <c r="AE42" t="e">
        <f>IF(37&gt;$AB$5,NA(),INDEX('Diario'!$AK$5:$AK$504,MATCH(37,'Diario'!$AQ$5:$AQ$504,0)))</f>
        <v>#N/A</v>
      </c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>
        <v>38</v>
      </c>
      <c r="AE43" t="e">
        <f>IF(38&gt;$AB$5,NA(),INDEX('Diario'!$AK$5:$AK$504,MATCH(38,'Diario'!$AQ$5:$AQ$504,0)))</f>
        <v>#N/A</v>
      </c>
    </row>
    <row r="44">
      <c r="A44" s="1" t="n"/>
      <c r="B44" s="4" t="inlineStr">
        <is>
          <t>Por mes</t>
        </is>
      </c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>
        <v>39</v>
      </c>
      <c r="AE44" t="e">
        <f>IF(39&gt;$AB$5,NA(),INDEX('Diario'!$AK$5:$AK$504,MATCH(39,'Diario'!$AQ$5:$AQ$504,0)))</f>
        <v>#N/A</v>
      </c>
    </row>
    <row r="45">
      <c r="A45" s="1" t="n"/>
      <c r="B45" s="43" t="inlineStr">
        <is>
          <t>Mes</t>
        </is>
      </c>
      <c r="C45" s="43" t="inlineStr">
        <is>
          <t>Operaciones</t>
        </is>
      </c>
      <c r="D45" s="1" t="n"/>
      <c r="E45" s="43" t="inlineStr">
        <is>
          <t>% acierto</t>
        </is>
      </c>
      <c r="F45" s="43" t="inlineStr">
        <is>
          <t>P&amp;L neto</t>
        </is>
      </c>
      <c r="G45" s="1" t="n"/>
      <c r="H45" s="43" t="inlineStr">
        <is>
          <t>Profit factor</t>
        </is>
      </c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>
        <v>40</v>
      </c>
      <c r="AE45" t="e">
        <f>IF(40&gt;$AB$5,NA(),INDEX('Diario'!$AK$5:$AK$504,MATCH(40,'Diario'!$AQ$5:$AQ$504,0)))</f>
        <v>#N/A</v>
      </c>
    </row>
    <row r="46">
      <c r="A46" s="1" t="n"/>
      <c r="B46" s="44">
        <f>IF($AB$20=0,"",EDATE($AB$20,-11))</f>
        <v>45962</v>
      </c>
      <c r="C46" s="45">
        <f>IF(B46="","",COUNTIFS('Diario'!$AT$5:$AT$504,B46,'Diario'!$AI$5:$AI$504,1))</f>
        <v>0</v>
      </c>
      <c r="D46" s="1" t="n"/>
      <c r="E46" s="46" t="str">
        <f>IF(OR(B46="",C46=0),"",IFERROR(COUNTIFS('Diario'!$AT$5:$AT$504,B46,'Diario'!$AI$5:$AI$504,1,'Diario'!$R$5:$R$504,"&gt;0")/(COUNTIFS('Diario'!$AT$5:$AT$504,B46,'Diario'!$AI$5:$AI$504,1,'Diario'!$R$5:$R$504,"&gt;0")+COUNTIFS('Diario'!$AT$5:$AT$504,B46,'Diario'!$AI$5:$AI$504,1,'Diario'!$R$5:$R$504,"&lt;0")),""))</f>
        <v/>
      </c>
      <c r="F46" s="47">
        <f>IF(B46="","",SUMIFS('Diario'!$AJ$5:$AJ$504,'Diario'!$AT$5:$AT$504,B46))</f>
        <v>0</v>
      </c>
      <c r="G46" s="1" t="n"/>
      <c r="H46" s="48" t="str">
        <f>IF(OR(B46="",C46=0),"",IFERROR(SUMIFS('Diario'!$R$5:$R$504,'Diario'!$AT$5:$AT$504,B46,'Diario'!$AI$5:$AI$504,1,'Diario'!$R$5:$R$504,"&gt;0")/-SUMIFS('Diario'!$R$5:$R$504,'Diario'!$AT$5:$AT$504,B46,'Diario'!$AI$5:$AI$504,1,'Diario'!$R$5:$R$504,"&lt;0"),""))</f>
        <v/>
      </c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>
        <v>41</v>
      </c>
      <c r="AE46" t="e">
        <f>IF(41&gt;$AB$5,NA(),INDEX('Diario'!$AK$5:$AK$504,MATCH(41,'Diario'!$AQ$5:$AQ$504,0)))</f>
        <v>#N/A</v>
      </c>
    </row>
    <row r="47">
      <c r="A47" s="1" t="n"/>
      <c r="B47" s="44">
        <f>IF($AB$20=0,"",EDATE($AB$20,-10))</f>
        <v>45992</v>
      </c>
      <c r="C47" s="45">
        <f>IF(B47="","",COUNTIFS('Diario'!$AT$5:$AT$504,B47,'Diario'!$AI$5:$AI$504,1))</f>
        <v>0</v>
      </c>
      <c r="D47" s="1" t="n"/>
      <c r="E47" s="46" t="str">
        <f>IF(OR(B47="",C47=0),"",IFERROR(COUNTIFS('Diario'!$AT$5:$AT$504,B47,'Diario'!$AI$5:$AI$504,1,'Diario'!$R$5:$R$504,"&gt;0")/(COUNTIFS('Diario'!$AT$5:$AT$504,B47,'Diario'!$AI$5:$AI$504,1,'Diario'!$R$5:$R$504,"&gt;0")+COUNTIFS('Diario'!$AT$5:$AT$504,B47,'Diario'!$AI$5:$AI$504,1,'Diario'!$R$5:$R$504,"&lt;0")),""))</f>
        <v/>
      </c>
      <c r="F47" s="47">
        <f>IF(B47="","",SUMIFS('Diario'!$AJ$5:$AJ$504,'Diario'!$AT$5:$AT$504,B47))</f>
        <v>0</v>
      </c>
      <c r="G47" s="1" t="n"/>
      <c r="H47" s="48" t="str">
        <f>IF(OR(B47="",C47=0),"",IFERROR(SUMIFS('Diario'!$R$5:$R$504,'Diario'!$AT$5:$AT$504,B47,'Diario'!$AI$5:$AI$504,1,'Diario'!$R$5:$R$504,"&gt;0")/-SUMIFS('Diario'!$R$5:$R$504,'Diario'!$AT$5:$AT$504,B47,'Diario'!$AI$5:$AI$504,1,'Diario'!$R$5:$R$504,"&lt;0"),""))</f>
        <v/>
      </c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>
        <v>42</v>
      </c>
      <c r="AE47" t="e">
        <f>IF(42&gt;$AB$5,NA(),INDEX('Diario'!$AK$5:$AK$504,MATCH(42,'Diario'!$AQ$5:$AQ$504,0)))</f>
        <v>#N/A</v>
      </c>
    </row>
    <row r="48">
      <c r="A48" s="1" t="n"/>
      <c r="B48" s="44">
        <f>IF($AB$20=0,"",EDATE($AB$20,-9))</f>
        <v>46023</v>
      </c>
      <c r="C48" s="45">
        <f>IF(B48="","",COUNTIFS('Diario'!$AT$5:$AT$504,B48,'Diario'!$AI$5:$AI$504,1))</f>
        <v>0</v>
      </c>
      <c r="D48" s="1" t="n"/>
      <c r="E48" s="46" t="str">
        <f>IF(OR(B48="",C48=0),"",IFERROR(COUNTIFS('Diario'!$AT$5:$AT$504,B48,'Diario'!$AI$5:$AI$504,1,'Diario'!$R$5:$R$504,"&gt;0")/(COUNTIFS('Diario'!$AT$5:$AT$504,B48,'Diario'!$AI$5:$AI$504,1,'Diario'!$R$5:$R$504,"&gt;0")+COUNTIFS('Diario'!$AT$5:$AT$504,B48,'Diario'!$AI$5:$AI$504,1,'Diario'!$R$5:$R$504,"&lt;0")),""))</f>
        <v/>
      </c>
      <c r="F48" s="47">
        <f>IF(B48="","",SUMIFS('Diario'!$AJ$5:$AJ$504,'Diario'!$AT$5:$AT$504,B48))</f>
        <v>0</v>
      </c>
      <c r="G48" s="1" t="n"/>
      <c r="H48" s="48" t="str">
        <f>IF(OR(B48="",C48=0),"",IFERROR(SUMIFS('Diario'!$R$5:$R$504,'Diario'!$AT$5:$AT$504,B48,'Diario'!$AI$5:$AI$504,1,'Diario'!$R$5:$R$504,"&gt;0")/-SUMIFS('Diario'!$R$5:$R$504,'Diario'!$AT$5:$AT$504,B48,'Diario'!$AI$5:$AI$504,1,'Diario'!$R$5:$R$504,"&lt;0"),""))</f>
        <v/>
      </c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>
        <v>43</v>
      </c>
      <c r="AE48" t="e">
        <f>IF(43&gt;$AB$5,NA(),INDEX('Diario'!$AK$5:$AK$504,MATCH(43,'Diario'!$AQ$5:$AQ$504,0)))</f>
        <v>#N/A</v>
      </c>
    </row>
    <row r="49">
      <c r="A49" s="1" t="n"/>
      <c r="B49" s="44">
        <f>IF($AB$20=0,"",EDATE($AB$20,-8))</f>
        <v>46054</v>
      </c>
      <c r="C49" s="45">
        <f>IF(B49="","",COUNTIFS('Diario'!$AT$5:$AT$504,B49,'Diario'!$AI$5:$AI$504,1))</f>
        <v>0</v>
      </c>
      <c r="D49" s="1" t="n"/>
      <c r="E49" s="46" t="str">
        <f>IF(OR(B49="",C49=0),"",IFERROR(COUNTIFS('Diario'!$AT$5:$AT$504,B49,'Diario'!$AI$5:$AI$504,1,'Diario'!$R$5:$R$504,"&gt;0")/(COUNTIFS('Diario'!$AT$5:$AT$504,B49,'Diario'!$AI$5:$AI$504,1,'Diario'!$R$5:$R$504,"&gt;0")+COUNTIFS('Diario'!$AT$5:$AT$504,B49,'Diario'!$AI$5:$AI$504,1,'Diario'!$R$5:$R$504,"&lt;0")),""))</f>
        <v/>
      </c>
      <c r="F49" s="47">
        <f>IF(B49="","",SUMIFS('Diario'!$AJ$5:$AJ$504,'Diario'!$AT$5:$AT$504,B49))</f>
        <v>0</v>
      </c>
      <c r="G49" s="1" t="n"/>
      <c r="H49" s="48" t="str">
        <f>IF(OR(B49="",C49=0),"",IFERROR(SUMIFS('Diario'!$R$5:$R$504,'Diario'!$AT$5:$AT$504,B49,'Diario'!$AI$5:$AI$504,1,'Diario'!$R$5:$R$504,"&gt;0")/-SUMIFS('Diario'!$R$5:$R$504,'Diario'!$AT$5:$AT$504,B49,'Diario'!$AI$5:$AI$504,1,'Diario'!$R$5:$R$504,"&lt;0"),""))</f>
        <v/>
      </c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>
        <v>44</v>
      </c>
      <c r="AE49" t="e">
        <f>IF(44&gt;$AB$5,NA(),INDEX('Diario'!$AK$5:$AK$504,MATCH(44,'Diario'!$AQ$5:$AQ$504,0)))</f>
        <v>#N/A</v>
      </c>
    </row>
    <row r="50">
      <c r="A50" s="1" t="n"/>
      <c r="B50" s="44">
        <f>IF($AB$20=0,"",EDATE($AB$20,-7))</f>
        <v>46082</v>
      </c>
      <c r="C50" s="45">
        <f>IF(B50="","",COUNTIFS('Diario'!$AT$5:$AT$504,B50,'Diario'!$AI$5:$AI$504,1))</f>
        <v>0</v>
      </c>
      <c r="D50" s="1" t="n"/>
      <c r="E50" s="46" t="str">
        <f>IF(OR(B50="",C50=0),"",IFERROR(COUNTIFS('Diario'!$AT$5:$AT$504,B50,'Diario'!$AI$5:$AI$504,1,'Diario'!$R$5:$R$504,"&gt;0")/(COUNTIFS('Diario'!$AT$5:$AT$504,B50,'Diario'!$AI$5:$AI$504,1,'Diario'!$R$5:$R$504,"&gt;0")+COUNTIFS('Diario'!$AT$5:$AT$504,B50,'Diario'!$AI$5:$AI$504,1,'Diario'!$R$5:$R$504,"&lt;0")),""))</f>
        <v/>
      </c>
      <c r="F50" s="47">
        <f>IF(B50="","",SUMIFS('Diario'!$AJ$5:$AJ$504,'Diario'!$AT$5:$AT$504,B50))</f>
        <v>0</v>
      </c>
      <c r="G50" s="1" t="n"/>
      <c r="H50" s="48" t="str">
        <f>IF(OR(B50="",C50=0),"",IFERROR(SUMIFS('Diario'!$R$5:$R$504,'Diario'!$AT$5:$AT$504,B50,'Diario'!$AI$5:$AI$504,1,'Diario'!$R$5:$R$504,"&gt;0")/-SUMIFS('Diario'!$R$5:$R$504,'Diario'!$AT$5:$AT$504,B50,'Diario'!$AI$5:$AI$504,1,'Diario'!$R$5:$R$504,"&lt;0"),""))</f>
        <v/>
      </c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>
        <v>45</v>
      </c>
      <c r="AE50" t="e">
        <f>IF(45&gt;$AB$5,NA(),INDEX('Diario'!$AK$5:$AK$504,MATCH(45,'Diario'!$AQ$5:$AQ$504,0)))</f>
        <v>#N/A</v>
      </c>
    </row>
    <row r="51">
      <c r="A51" s="1" t="n"/>
      <c r="B51" s="44">
        <f>IF($AB$20=0,"",EDATE($AB$20,-6))</f>
        <v>46113</v>
      </c>
      <c r="C51" s="45">
        <f>IF(B51="","",COUNTIFS('Diario'!$AT$5:$AT$504,B51,'Diario'!$AI$5:$AI$504,1))</f>
        <v>0</v>
      </c>
      <c r="D51" s="1" t="n"/>
      <c r="E51" s="46" t="str">
        <f>IF(OR(B51="",C51=0),"",IFERROR(COUNTIFS('Diario'!$AT$5:$AT$504,B51,'Diario'!$AI$5:$AI$504,1,'Diario'!$R$5:$R$504,"&gt;0")/(COUNTIFS('Diario'!$AT$5:$AT$504,B51,'Diario'!$AI$5:$AI$504,1,'Diario'!$R$5:$R$504,"&gt;0")+COUNTIFS('Diario'!$AT$5:$AT$504,B51,'Diario'!$AI$5:$AI$504,1,'Diario'!$R$5:$R$504,"&lt;0")),""))</f>
        <v/>
      </c>
      <c r="F51" s="47">
        <f>IF(B51="","",SUMIFS('Diario'!$AJ$5:$AJ$504,'Diario'!$AT$5:$AT$504,B51))</f>
        <v>0</v>
      </c>
      <c r="G51" s="1" t="n"/>
      <c r="H51" s="48" t="str">
        <f>IF(OR(B51="",C51=0),"",IFERROR(SUMIFS('Diario'!$R$5:$R$504,'Diario'!$AT$5:$AT$504,B51,'Diario'!$AI$5:$AI$504,1,'Diario'!$R$5:$R$504,"&gt;0")/-SUMIFS('Diario'!$R$5:$R$504,'Diario'!$AT$5:$AT$504,B51,'Diario'!$AI$5:$AI$504,1,'Diario'!$R$5:$R$504,"&lt;0"),""))</f>
        <v/>
      </c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>
        <v>46</v>
      </c>
      <c r="AE51" t="e">
        <f>IF(46&gt;$AB$5,NA(),INDEX('Diario'!$AK$5:$AK$504,MATCH(46,'Diario'!$AQ$5:$AQ$504,0)))</f>
        <v>#N/A</v>
      </c>
    </row>
    <row r="52">
      <c r="A52" s="1" t="n"/>
      <c r="B52" s="44">
        <f>IF($AB$20=0,"",EDATE($AB$20,-5))</f>
        <v>46143</v>
      </c>
      <c r="C52" s="45">
        <f>IF(B52="","",COUNTIFS('Diario'!$AT$5:$AT$504,B52,'Diario'!$AI$5:$AI$504,1))</f>
        <v>0</v>
      </c>
      <c r="D52" s="1" t="n"/>
      <c r="E52" s="46" t="str">
        <f>IF(OR(B52="",C52=0),"",IFERROR(COUNTIFS('Diario'!$AT$5:$AT$504,B52,'Diario'!$AI$5:$AI$504,1,'Diario'!$R$5:$R$504,"&gt;0")/(COUNTIFS('Diario'!$AT$5:$AT$504,B52,'Diario'!$AI$5:$AI$504,1,'Diario'!$R$5:$R$504,"&gt;0")+COUNTIFS('Diario'!$AT$5:$AT$504,B52,'Diario'!$AI$5:$AI$504,1,'Diario'!$R$5:$R$504,"&lt;0")),""))</f>
        <v/>
      </c>
      <c r="F52" s="47">
        <f>IF(B52="","",SUMIFS('Diario'!$AJ$5:$AJ$504,'Diario'!$AT$5:$AT$504,B52))</f>
        <v>0</v>
      </c>
      <c r="G52" s="1" t="n"/>
      <c r="H52" s="48" t="str">
        <f>IF(OR(B52="",C52=0),"",IFERROR(SUMIFS('Diario'!$R$5:$R$504,'Diario'!$AT$5:$AT$504,B52,'Diario'!$AI$5:$AI$504,1,'Diario'!$R$5:$R$504,"&gt;0")/-SUMIFS('Diario'!$R$5:$R$504,'Diario'!$AT$5:$AT$504,B52,'Diario'!$AI$5:$AI$504,1,'Diario'!$R$5:$R$504,"&lt;0"),""))</f>
        <v/>
      </c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>
        <v>47</v>
      </c>
      <c r="AE52" t="e">
        <f>IF(47&gt;$AB$5,NA(),INDEX('Diario'!$AK$5:$AK$504,MATCH(47,'Diario'!$AQ$5:$AQ$504,0)))</f>
        <v>#N/A</v>
      </c>
    </row>
    <row r="53">
      <c r="A53" s="1" t="n"/>
      <c r="B53" s="44">
        <f>IF($AB$20=0,"",EDATE($AB$20,-4))</f>
        <v>46174</v>
      </c>
      <c r="C53" s="45">
        <f>IF(B53="","",COUNTIFS('Diario'!$AT$5:$AT$504,B53,'Diario'!$AI$5:$AI$504,1))</f>
        <v>0</v>
      </c>
      <c r="D53" s="1" t="n"/>
      <c r="E53" s="46" t="str">
        <f>IF(OR(B53="",C53=0),"",IFERROR(COUNTIFS('Diario'!$AT$5:$AT$504,B53,'Diario'!$AI$5:$AI$504,1,'Diario'!$R$5:$R$504,"&gt;0")/(COUNTIFS('Diario'!$AT$5:$AT$504,B53,'Diario'!$AI$5:$AI$504,1,'Diario'!$R$5:$R$504,"&gt;0")+COUNTIFS('Diario'!$AT$5:$AT$504,B53,'Diario'!$AI$5:$AI$504,1,'Diario'!$R$5:$R$504,"&lt;0")),""))</f>
        <v/>
      </c>
      <c r="F53" s="47">
        <f>IF(B53="","",SUMIFS('Diario'!$AJ$5:$AJ$504,'Diario'!$AT$5:$AT$504,B53))</f>
        <v>0</v>
      </c>
      <c r="G53" s="1" t="n"/>
      <c r="H53" s="48" t="str">
        <f>IF(OR(B53="",C53=0),"",IFERROR(SUMIFS('Diario'!$R$5:$R$504,'Diario'!$AT$5:$AT$504,B53,'Diario'!$AI$5:$AI$504,1,'Diario'!$R$5:$R$504,"&gt;0")/-SUMIFS('Diario'!$R$5:$R$504,'Diario'!$AT$5:$AT$504,B53,'Diario'!$AI$5:$AI$504,1,'Diario'!$R$5:$R$504,"&lt;0"),""))</f>
        <v/>
      </c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>
        <v>48</v>
      </c>
      <c r="AE53" t="e">
        <f>IF(48&gt;$AB$5,NA(),INDEX('Diario'!$AK$5:$AK$504,MATCH(48,'Diario'!$AQ$5:$AQ$504,0)))</f>
        <v>#N/A</v>
      </c>
    </row>
    <row r="54">
      <c r="A54" s="1" t="n"/>
      <c r="B54" s="44">
        <f>IF($AB$20=0,"",EDATE($AB$20,-3))</f>
        <v>46204</v>
      </c>
      <c r="C54" s="45">
        <f>IF(B54="","",COUNTIFS('Diario'!$AT$5:$AT$504,B54,'Diario'!$AI$5:$AI$504,1))</f>
        <v>0</v>
      </c>
      <c r="D54" s="1" t="n"/>
      <c r="E54" s="46" t="str">
        <f>IF(OR(B54="",C54=0),"",IFERROR(COUNTIFS('Diario'!$AT$5:$AT$504,B54,'Diario'!$AI$5:$AI$504,1,'Diario'!$R$5:$R$504,"&gt;0")/(COUNTIFS('Diario'!$AT$5:$AT$504,B54,'Diario'!$AI$5:$AI$504,1,'Diario'!$R$5:$R$504,"&gt;0")+COUNTIFS('Diario'!$AT$5:$AT$504,B54,'Diario'!$AI$5:$AI$504,1,'Diario'!$R$5:$R$504,"&lt;0")),""))</f>
        <v/>
      </c>
      <c r="F54" s="47">
        <f>IF(B54="","",SUMIFS('Diario'!$AJ$5:$AJ$504,'Diario'!$AT$5:$AT$504,B54))</f>
        <v>0</v>
      </c>
      <c r="G54" s="1" t="n"/>
      <c r="H54" s="48" t="str">
        <f>IF(OR(B54="",C54=0),"",IFERROR(SUMIFS('Diario'!$R$5:$R$504,'Diario'!$AT$5:$AT$504,B54,'Diario'!$AI$5:$AI$504,1,'Diario'!$R$5:$R$504,"&gt;0")/-SUMIFS('Diario'!$R$5:$R$504,'Diario'!$AT$5:$AT$504,B54,'Diario'!$AI$5:$AI$504,1,'Diario'!$R$5:$R$504,"&lt;0"),""))</f>
        <v/>
      </c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>
        <v>49</v>
      </c>
      <c r="AE54" t="e">
        <f>IF(49&gt;$AB$5,NA(),INDEX('Diario'!$AK$5:$AK$504,MATCH(49,'Diario'!$AQ$5:$AQ$504,0)))</f>
        <v>#N/A</v>
      </c>
    </row>
    <row r="55">
      <c r="A55" s="1" t="n"/>
      <c r="B55" s="44">
        <f>IF($AB$20=0,"",EDATE($AB$20,-2))</f>
        <v>46235</v>
      </c>
      <c r="C55" s="45">
        <f>IF(B55="","",COUNTIFS('Diario'!$AT$5:$AT$504,B55,'Diario'!$AI$5:$AI$504,1))</f>
        <v>0</v>
      </c>
      <c r="D55" s="1" t="n"/>
      <c r="E55" s="46" t="str">
        <f>IF(OR(B55="",C55=0),"",IFERROR(COUNTIFS('Diario'!$AT$5:$AT$504,B55,'Diario'!$AI$5:$AI$504,1,'Diario'!$R$5:$R$504,"&gt;0")/(COUNTIFS('Diario'!$AT$5:$AT$504,B55,'Diario'!$AI$5:$AI$504,1,'Diario'!$R$5:$R$504,"&gt;0")+COUNTIFS('Diario'!$AT$5:$AT$504,B55,'Diario'!$AI$5:$AI$504,1,'Diario'!$R$5:$R$504,"&lt;0")),""))</f>
        <v/>
      </c>
      <c r="F55" s="47">
        <f>IF(B55="","",SUMIFS('Diario'!$AJ$5:$AJ$504,'Diario'!$AT$5:$AT$504,B55))</f>
        <v>0</v>
      </c>
      <c r="G55" s="1" t="n"/>
      <c r="H55" s="48" t="str">
        <f>IF(OR(B55="",C55=0),"",IFERROR(SUMIFS('Diario'!$R$5:$R$504,'Diario'!$AT$5:$AT$504,B55,'Diario'!$AI$5:$AI$504,1,'Diario'!$R$5:$R$504,"&gt;0")/-SUMIFS('Diario'!$R$5:$R$504,'Diario'!$AT$5:$AT$504,B55,'Diario'!$AI$5:$AI$504,1,'Diario'!$R$5:$R$504,"&lt;0"),""))</f>
        <v/>
      </c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>
        <v>50</v>
      </c>
      <c r="AE55" t="e">
        <f>IF(50&gt;$AB$5,NA(),INDEX('Diario'!$AK$5:$AK$504,MATCH(50,'Diario'!$AQ$5:$AQ$504,0)))</f>
        <v>#N/A</v>
      </c>
    </row>
    <row r="56">
      <c r="A56" s="1" t="n"/>
      <c r="B56" s="44">
        <f>IF($AB$20=0,"",EDATE($AB$20,-1))</f>
        <v>46266</v>
      </c>
      <c r="C56" s="45">
        <f>IF(B56="","",COUNTIFS('Diario'!$AT$5:$AT$504,B56,'Diario'!$AI$5:$AI$504,1))</f>
        <v>18</v>
      </c>
      <c r="D56" s="1" t="n"/>
      <c r="E56" s="46">
        <f>IF(OR(B56="",C56=0),"",IFERROR(COUNTIFS('Diario'!$AT$5:$AT$504,B56,'Diario'!$AI$5:$AI$504,1,'Diario'!$R$5:$R$504,"&gt;0")/(COUNTIFS('Diario'!$AT$5:$AT$504,B56,'Diario'!$AI$5:$AI$504,1,'Diario'!$R$5:$R$504,"&gt;0")+COUNTIFS('Diario'!$AT$5:$AT$504,B56,'Diario'!$AI$5:$AI$504,1,'Diario'!$R$5:$R$504,"&lt;0")),""))</f>
        <v>0.5</v>
      </c>
      <c r="F56" s="47">
        <f>IF(B56="","",SUMIFS('Diario'!$AJ$5:$AJ$504,'Diario'!$AT$5:$AT$504,B56))</f>
        <v>862.7475000000329</v>
      </c>
      <c r="G56" s="1" t="n"/>
      <c r="H56" s="48">
        <f>IF(OR(B56="",C56=0),"",IFERROR(SUMIFS('Diario'!$R$5:$R$504,'Diario'!$AT$5:$AT$504,B56,'Diario'!$AI$5:$AI$504,1,'Diario'!$R$5:$R$504,"&gt;0")/-SUMIFS('Diario'!$R$5:$R$504,'Diario'!$AT$5:$AT$504,B56,'Diario'!$AI$5:$AI$504,1,'Diario'!$R$5:$R$504,"&lt;0"),""))</f>
        <v>2.1716501268075574</v>
      </c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>
        <v>51</v>
      </c>
      <c r="AE56" t="e">
        <f>IF(51&gt;$AB$5,NA(),INDEX('Diario'!$AK$5:$AK$504,MATCH(51,'Diario'!$AQ$5:$AQ$504,0)))</f>
        <v>#N/A</v>
      </c>
    </row>
    <row r="57">
      <c r="A57" s="1" t="n"/>
      <c r="B57" s="44">
        <f>IF($AB$20=0,"",EDATE($AB$20,0))</f>
        <v>46296</v>
      </c>
      <c r="C57" s="45">
        <f>IF(B57="","",COUNTIFS('Diario'!$AT$5:$AT$504,B57,'Diario'!$AI$5:$AI$504,1))</f>
        <v>12</v>
      </c>
      <c r="D57" s="1" t="n"/>
      <c r="E57" s="46">
        <f>IF(OR(B57="",C57=0),"",IFERROR(COUNTIFS('Diario'!$AT$5:$AT$504,B57,'Diario'!$AI$5:$AI$504,1,'Diario'!$R$5:$R$504,"&gt;0")/(COUNTIFS('Diario'!$AT$5:$AT$504,B57,'Diario'!$AI$5:$AI$504,1,'Diario'!$R$5:$R$504,"&gt;0")+COUNTIFS('Diario'!$AT$5:$AT$504,B57,'Diario'!$AI$5:$AI$504,1,'Diario'!$R$5:$R$504,"&lt;0")),""))</f>
        <v>0.5</v>
      </c>
      <c r="F57" s="47">
        <f>IF(B57="","",SUMIFS('Diario'!$AJ$5:$AJ$504,'Diario'!$AT$5:$AT$504,B57))</f>
        <v>418.3140000000005</v>
      </c>
      <c r="G57" s="1" t="n"/>
      <c r="H57" s="48">
        <f>IF(OR(B57="",C57=0),"",IFERROR(SUMIFS('Diario'!$R$5:$R$504,'Diario'!$AT$5:$AT$504,B57,'Diario'!$AI$5:$AI$504,1,'Diario'!$R$5:$R$504,"&gt;0")/-SUMIFS('Diario'!$R$5:$R$504,'Diario'!$AT$5:$AT$504,B57,'Diario'!$AI$5:$AI$504,1,'Diario'!$R$5:$R$504,"&lt;0"),""))</f>
        <v>1.7664432579802285</v>
      </c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>
        <v>52</v>
      </c>
      <c r="AE57" t="e">
        <f>IF(52&gt;$AB$5,NA(),INDEX('Diario'!$AK$5:$AK$504,MATCH(52,'Diario'!$AQ$5:$AQ$504,0)))</f>
        <v>#N/A</v>
      </c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>
        <v>53</v>
      </c>
      <c r="AE58" t="e">
        <f>IF(53&gt;$AB$5,NA(),INDEX('Diario'!$AK$5:$AK$504,MATCH(53,'Diario'!$AQ$5:$AQ$504,0)))</f>
        <v>#N/A</v>
      </c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>
        <v>54</v>
      </c>
      <c r="AE59" t="e">
        <f>IF(54&gt;$AB$5,NA(),INDEX('Diario'!$AK$5:$AK$504,MATCH(54,'Diario'!$AQ$5:$AQ$504,0)))</f>
        <v>#N/A</v>
      </c>
    </row>
    <row r="60">
      <c r="A60" s="1" t="n"/>
      <c r="B60" s="4" t="inlineStr">
        <is>
          <t>Por setup</t>
        </is>
      </c>
      <c r="C60" s="1" t="n"/>
      <c r="D60" s="1" t="n"/>
      <c r="E60" s="1" t="n"/>
      <c r="F60" s="1" t="n"/>
      <c r="G60" s="1" t="n"/>
      <c r="H60" s="4" t="inlineStr">
        <is>
          <t>Por símbolo</t>
        </is>
      </c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  <c r="AA60" s="1" t="n"/>
      <c r="AB60" s="1" t="n"/>
      <c r="AC60" s="1" t="n"/>
      <c r="AD60" s="1" t="n">
        <v>55</v>
      </c>
      <c r="AE60" t="e">
        <f>IF(55&gt;$AB$5,NA(),INDEX('Diario'!$AK$5:$AK$504,MATCH(55,'Diario'!$AQ$5:$AQ$504,0)))</f>
        <v>#N/A</v>
      </c>
    </row>
    <row r="61">
      <c r="A61" s="1" t="n"/>
      <c r="B61" s="43" t="inlineStr">
        <is>
          <t>Nombre</t>
        </is>
      </c>
      <c r="C61" s="43" t="inlineStr">
        <is>
          <t>Operaciones</t>
        </is>
      </c>
      <c r="D61" s="43" t="inlineStr">
        <is>
          <t>% acierto</t>
        </is>
      </c>
      <c r="E61" s="43" t="inlineStr">
        <is>
          <t>P&amp;L neto</t>
        </is>
      </c>
      <c r="F61" s="43" t="inlineStr">
        <is>
          <t>R medio</t>
        </is>
      </c>
      <c r="G61" s="1" t="n"/>
      <c r="H61" s="43" t="inlineStr">
        <is>
          <t>Nombre</t>
        </is>
      </c>
      <c r="I61" s="43" t="inlineStr">
        <is>
          <t>Operaciones</t>
        </is>
      </c>
      <c r="J61" s="43" t="inlineStr">
        <is>
          <t>% acierto</t>
        </is>
      </c>
      <c r="K61" s="43" t="inlineStr">
        <is>
          <t>P&amp;L neto</t>
        </is>
      </c>
      <c r="L61" s="43" t="inlineStr">
        <is>
          <t>R medio</t>
        </is>
      </c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>
        <v>56</v>
      </c>
      <c r="AE61" t="e">
        <f>IF(56&gt;$AB$5,NA(),INDEX('Diario'!$AK$5:$AK$504,MATCH(56,'Diario'!$AQ$5:$AQ$504,0)))</f>
        <v>#N/A</v>
      </c>
    </row>
    <row r="62">
      <c r="A62" s="1" t="n"/>
      <c r="B62" s="5" t="str">
        <f>IF('Listas'!$B$6="","",'Listas'!$B$6)</f>
        <v>Ruptura</v>
      </c>
      <c r="C62" s="45">
        <f>IF(B62="","",COUNTIFS('Diario'!$V$5:$V$504,B62,'Diario'!$AI$5:$AI$504,1))</f>
        <v>10</v>
      </c>
      <c r="D62" s="46">
        <f>IF(OR(B62="",N(C62)=0),"",IFERROR(COUNTIFS('Diario'!$V$5:$V$504,B62,'Diario'!$AI$5:$AI$504,1,'Diario'!$R$5:$R$504,"&gt;0")/(COUNTIFS('Diario'!$V$5:$V$504,B62,'Diario'!$AI$5:$AI$504,1,'Diario'!$R$5:$R$504,"&gt;0")+COUNTIFS('Diario'!$V$5:$V$504,B62,'Diario'!$AI$5:$AI$504,1,'Diario'!$R$5:$R$504,"&lt;0")),""))</f>
        <v>0.4</v>
      </c>
      <c r="E62" s="47">
        <f>IF(B62="","",SUMIFS('Diario'!$AJ$5:$AJ$504,'Diario'!$V$5:$V$504,B62))</f>
        <v>67.80000000002218</v>
      </c>
      <c r="F62" s="49">
        <f>IF(OR(B62="",N(C62)=0),"",IFERROR(AVERAGEIFS('Diario'!$T$5:$T$504,'Diario'!$V$5:$V$504,B62,'Diario'!$AI$5:$AI$504,1),""))</f>
        <v>0.06460000000001057</v>
      </c>
      <c r="G62" s="1" t="n"/>
      <c r="H62" s="5" t="str">
        <f>IF('Listas'!$M$6="","",'Listas'!$M$6)</f>
        <v>EURUSD</v>
      </c>
      <c r="I62" s="45">
        <f>IF(H62="","",COUNTIFS('Diario'!$G$5:$G$504,H62,'Diario'!$AI$5:$AI$504,1))</f>
        <v>6</v>
      </c>
      <c r="J62" s="46">
        <f>IF(OR(H62="",N(I62)=0),"",IFERROR(COUNTIFS('Diario'!$G$5:$G$504,H62,'Diario'!$AI$5:$AI$504,1,'Diario'!$R$5:$R$504,"&gt;0")/(COUNTIFS('Diario'!$G$5:$G$504,H62,'Diario'!$AI$5:$AI$504,1,'Diario'!$R$5:$R$504,"&gt;0")+COUNTIFS('Diario'!$G$5:$G$504,H62,'Diario'!$AI$5:$AI$504,1,'Diario'!$R$5:$R$504,"&lt;0")),""))</f>
        <v>0.6666666666666666</v>
      </c>
      <c r="K62" s="47">
        <f>IF(H62="","",SUMIFS('Diario'!$AJ$5:$AJ$504,'Diario'!$G$5:$G$504,H62))</f>
        <v>289.0000000000213</v>
      </c>
      <c r="L62" s="49">
        <f>IF(OR(H62="",N(I62)=0),"",IFERROR(AVERAGEIFS('Diario'!$T$5:$T$504,'Diario'!$G$5:$G$504,H62,'Diario'!$AI$5:$AI$504,1),""))</f>
        <v>0.4816666666666827</v>
      </c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>
        <v>57</v>
      </c>
      <c r="AE62" t="e">
        <f>IF(57&gt;$AB$5,NA(),INDEX('Diario'!$AK$5:$AK$504,MATCH(57,'Diario'!$AQ$5:$AQ$504,0)))</f>
        <v>#N/A</v>
      </c>
    </row>
    <row r="63">
      <c r="A63" s="1" t="n"/>
      <c r="B63" s="5" t="str">
        <f>IF('Listas'!$B$7="","",'Listas'!$B$7)</f>
        <v>Pullback</v>
      </c>
      <c r="C63" s="45">
        <f>IF(B63="","",COUNTIFS('Diario'!$V$5:$V$504,B63,'Diario'!$AI$5:$AI$504,1))</f>
        <v>8</v>
      </c>
      <c r="D63" s="46">
        <f>IF(OR(B63="",N(C63)=0),"",IFERROR(COUNTIFS('Diario'!$V$5:$V$504,B63,'Diario'!$AI$5:$AI$504,1,'Diario'!$R$5:$R$504,"&gt;0")/(COUNTIFS('Diario'!$V$5:$V$504,B63,'Diario'!$AI$5:$AI$504,1,'Diario'!$R$5:$R$504,"&gt;0")+COUNTIFS('Diario'!$V$5:$V$504,B63,'Diario'!$AI$5:$AI$504,1,'Diario'!$R$5:$R$504,"&lt;0")),""))</f>
        <v>0.875</v>
      </c>
      <c r="E63" s="47">
        <f>IF(B63="","",SUMIFS('Diario'!$AJ$5:$AJ$504,'Diario'!$V$5:$V$504,B63))</f>
        <v>900.013999999995</v>
      </c>
      <c r="F63" s="49">
        <f>IF(OR(B63="",N(C63)=0),"",IFERROR(AVERAGEIFS('Diario'!$T$5:$T$504,'Diario'!$V$5:$V$504,B63,'Diario'!$AI$5:$AI$504,1),""))</f>
        <v>1.154640126969084</v>
      </c>
      <c r="G63" s="1" t="n"/>
      <c r="H63" s="5" t="str">
        <f>IF('Listas'!$M$7="","",'Listas'!$M$7)</f>
        <v>GBPUSD</v>
      </c>
      <c r="I63" s="45">
        <f>IF(H63="","",COUNTIFS('Diario'!$G$5:$G$504,H63,'Diario'!$AI$5:$AI$504,1))</f>
        <v>11</v>
      </c>
      <c r="J63" s="46">
        <f>IF(OR(H63="",N(I63)=0),"",IFERROR(COUNTIFS('Diario'!$G$5:$G$504,H63,'Diario'!$AI$5:$AI$504,1,'Diario'!$R$5:$R$504,"&gt;0")/(COUNTIFS('Diario'!$G$5:$G$504,H63,'Diario'!$AI$5:$AI$504,1,'Diario'!$R$5:$R$504,"&gt;0")+COUNTIFS('Diario'!$G$5:$G$504,H63,'Diario'!$AI$5:$AI$504,1,'Diario'!$R$5:$R$504,"&lt;0")),""))</f>
        <v>0.45454545454545453</v>
      </c>
      <c r="K63" s="47">
        <f>IF(H63="","",SUMIFS('Diario'!$AJ$5:$AJ$504,'Diario'!$G$5:$G$504,H63))</f>
        <v>529.2000000000094</v>
      </c>
      <c r="L63" s="49">
        <f>IF(OR(H63="",N(I63)=0),"",IFERROR(AVERAGEIFS('Diario'!$T$5:$T$504,'Diario'!$G$5:$G$504,H63,'Diario'!$AI$5:$AI$504,1),""))</f>
        <v>0.48109090909092783</v>
      </c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>
        <v>58</v>
      </c>
      <c r="AE63" t="e">
        <f>IF(58&gt;$AB$5,NA(),INDEX('Diario'!$AK$5:$AK$504,MATCH(58,'Diario'!$AQ$5:$AQ$504,0)))</f>
        <v>#N/A</v>
      </c>
    </row>
    <row r="64">
      <c r="A64" s="1" t="n"/>
      <c r="B64" s="5" t="str">
        <f>IF('Listas'!$B$8="","",'Listas'!$B$8)</f>
        <v>Rebote en rango</v>
      </c>
      <c r="C64" s="45">
        <f>IF(B64="","",COUNTIFS('Diario'!$V$5:$V$504,B64,'Diario'!$AI$5:$AI$504,1))</f>
        <v>5</v>
      </c>
      <c r="D64" s="46">
        <f>IF(OR(B64="",N(C64)=0),"",IFERROR(COUNTIFS('Diario'!$V$5:$V$504,B64,'Diario'!$AI$5:$AI$504,1,'Diario'!$R$5:$R$504,"&gt;0")/(COUNTIFS('Diario'!$V$5:$V$504,B64,'Diario'!$AI$5:$AI$504,1,'Diario'!$R$5:$R$504,"&gt;0")+COUNTIFS('Diario'!$V$5:$V$504,B64,'Diario'!$AI$5:$AI$504,1,'Diario'!$R$5:$R$504,"&lt;0")),""))</f>
        <v>0.4</v>
      </c>
      <c r="E64" s="47">
        <f>IF(B64="","",SUMIFS('Diario'!$AJ$5:$AJ$504,'Diario'!$V$5:$V$504,B64))</f>
        <v>249.6000000000022</v>
      </c>
      <c r="F64" s="49">
        <f>IF(OR(B64="",N(C64)=0),"",IFERROR(AVERAGEIFS('Diario'!$T$5:$T$504,'Diario'!$V$5:$V$504,B64,'Diario'!$AI$5:$AI$504,1),""))</f>
        <v>0.5032000000000068</v>
      </c>
      <c r="G64" s="1" t="n"/>
      <c r="H64" s="5" t="str">
        <f>IF('Listas'!$M$8="","",'Listas'!$M$8)</f>
        <v>USDJPY</v>
      </c>
      <c r="I64" s="45">
        <f>IF(H64="","",COUNTIFS('Diario'!$G$5:$G$504,H64,'Diario'!$AI$5:$AI$504,1))</f>
        <v>2</v>
      </c>
      <c r="J64" s="46">
        <f>IF(OR(H64="",N(I64)=0),"",IFERROR(COUNTIFS('Diario'!$G$5:$G$504,H64,'Diario'!$AI$5:$AI$504,1,'Diario'!$R$5:$R$504,"&gt;0")/(COUNTIFS('Diario'!$G$5:$G$504,H64,'Diario'!$AI$5:$AI$504,1,'Diario'!$R$5:$R$504,"&gt;0")+COUNTIFS('Diario'!$G$5:$G$504,H64,'Diario'!$AI$5:$AI$504,1,'Diario'!$R$5:$R$504,"&lt;0")),""))</f>
        <v>0</v>
      </c>
      <c r="K64" s="47">
        <f>IF(H64="","",SUMIFS('Diario'!$AJ$5:$AJ$504,'Diario'!$G$5:$G$504,H64))</f>
        <v>-168.33849999999714</v>
      </c>
      <c r="L64" s="49">
        <f>IF(OR(H64="",N(I64)=0),"",IFERROR(AVERAGEIFS('Diario'!$T$5:$T$504,'Diario'!$G$5:$G$504,H64,'Diario'!$AI$5:$AI$504,1),""))</f>
        <v>-0.8868789842473821</v>
      </c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>
        <v>59</v>
      </c>
      <c r="AE64" t="e">
        <f>IF(59&gt;$AB$5,NA(),INDEX('Diario'!$AK$5:$AK$504,MATCH(59,'Diario'!$AQ$5:$AQ$504,0)))</f>
        <v>#N/A</v>
      </c>
    </row>
    <row r="65">
      <c r="A65" s="1" t="n"/>
      <c r="B65" s="5" t="str">
        <f>IF('Listas'!$B$9="","",'Listas'!$B$9)</f>
        <v>Continuación</v>
      </c>
      <c r="C65" s="45">
        <f>IF(B65="","",COUNTIFS('Diario'!$V$5:$V$504,B65,'Diario'!$AI$5:$AI$504,1))</f>
        <v>7</v>
      </c>
      <c r="D65" s="46">
        <f>IF(OR(B65="",N(C65)=0),"",IFERROR(COUNTIFS('Diario'!$V$5:$V$504,B65,'Diario'!$AI$5:$AI$504,1,'Diario'!$R$5:$R$504,"&gt;0")/(COUNTIFS('Diario'!$V$5:$V$504,B65,'Diario'!$AI$5:$AI$504,1,'Diario'!$R$5:$R$504,"&gt;0")+COUNTIFS('Diario'!$V$5:$V$504,B65,'Diario'!$AI$5:$AI$504,1,'Diario'!$R$5:$R$504,"&lt;0")),""))</f>
        <v>0.2857142857142857</v>
      </c>
      <c r="E65" s="47">
        <f>IF(B65="","",SUMIFS('Diario'!$AJ$5:$AJ$504,'Diario'!$V$5:$V$504,B65))</f>
        <v>63.64750000001405</v>
      </c>
      <c r="F65" s="49">
        <f>IF(OR(B65="",N(C65)=0),"",IFERROR(AVERAGEIFS('Diario'!$T$5:$T$504,'Diario'!$V$5:$V$504,B65,'Diario'!$AI$5:$AI$504,1),""))</f>
        <v>0.07273157367896099</v>
      </c>
      <c r="G65" s="1" t="n"/>
      <c r="H65" s="5" t="str">
        <f>IF('Listas'!$M$9="","",'Listas'!$M$9)</f>
        <v>AUDUSD</v>
      </c>
      <c r="I65" s="45">
        <f>IF(H65="","",COUNTIFS('Diario'!$G$5:$G$504,H65,'Diario'!$AI$5:$AI$504,1))</f>
        <v>0</v>
      </c>
      <c r="J65" s="46" t="str">
        <f>IF(OR(H65="",N(I65)=0),"",IFERROR(COUNTIFS('Diario'!$G$5:$G$504,H65,'Diario'!$AI$5:$AI$504,1,'Diario'!$R$5:$R$504,"&gt;0")/(COUNTIFS('Diario'!$G$5:$G$504,H65,'Diario'!$AI$5:$AI$504,1,'Diario'!$R$5:$R$504,"&gt;0")+COUNTIFS('Diario'!$G$5:$G$504,H65,'Diario'!$AI$5:$AI$504,1,'Diario'!$R$5:$R$504,"&lt;0")),""))</f>
        <v/>
      </c>
      <c r="K65" s="47">
        <f>IF(H65="","",SUMIFS('Diario'!$AJ$5:$AJ$504,'Diario'!$G$5:$G$504,H65))</f>
        <v>0</v>
      </c>
      <c r="L65" s="49" t="str">
        <f>IF(OR(H65="",N(I65)=0),"",IFERROR(AVERAGEIFS('Diario'!$T$5:$T$504,'Diario'!$G$5:$G$504,H65,'Diario'!$AI$5:$AI$504,1),""))</f>
        <v/>
      </c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  <c r="AA65" s="1" t="n"/>
      <c r="AB65" s="1" t="n"/>
      <c r="AC65" s="1" t="n"/>
      <c r="AD65" s="1" t="n">
        <v>60</v>
      </c>
      <c r="AE65" t="e">
        <f>IF(60&gt;$AB$5,NA(),INDEX('Diario'!$AK$5:$AK$504,MATCH(60,'Diario'!$AQ$5:$AQ$504,0)))</f>
        <v>#N/A</v>
      </c>
    </row>
    <row r="66">
      <c r="A66" s="1" t="n"/>
      <c r="B66" s="5" t="str">
        <f>IF('Listas'!$B$10="","",'Listas'!$B$10)</f>
        <v>Noticias</v>
      </c>
      <c r="C66" s="45">
        <f>IF(B66="","",COUNTIFS('Diario'!$V$5:$V$504,B66,'Diario'!$AI$5:$AI$504,1))</f>
        <v>0</v>
      </c>
      <c r="D66" s="46" t="str">
        <f>IF(OR(B66="",N(C66)=0),"",IFERROR(COUNTIFS('Diario'!$V$5:$V$504,B66,'Diario'!$AI$5:$AI$504,1,'Diario'!$R$5:$R$504,"&gt;0")/(COUNTIFS('Diario'!$V$5:$V$504,B66,'Diario'!$AI$5:$AI$504,1,'Diario'!$R$5:$R$504,"&gt;0")+COUNTIFS('Diario'!$V$5:$V$504,B66,'Diario'!$AI$5:$AI$504,1,'Diario'!$R$5:$R$504,"&lt;0")),""))</f>
        <v/>
      </c>
      <c r="E66" s="47">
        <f>IF(B66="","",SUMIFS('Diario'!$AJ$5:$AJ$504,'Diario'!$V$5:$V$504,B66))</f>
        <v>0</v>
      </c>
      <c r="F66" s="49" t="str">
        <f>IF(OR(B66="",N(C66)=0),"",IFERROR(AVERAGEIFS('Diario'!$T$5:$T$504,'Diario'!$V$5:$V$504,B66,'Diario'!$AI$5:$AI$504,1),""))</f>
        <v/>
      </c>
      <c r="G66" s="1" t="n"/>
      <c r="H66" s="5" t="str">
        <f>IF('Listas'!$M$10="","",'Listas'!$M$10)</f>
        <v>USDCAD</v>
      </c>
      <c r="I66" s="45">
        <f>IF(H66="","",COUNTIFS('Diario'!$G$5:$G$504,H66,'Diario'!$AI$5:$AI$504,1))</f>
        <v>0</v>
      </c>
      <c r="J66" s="46" t="str">
        <f>IF(OR(H66="",N(I66)=0),"",IFERROR(COUNTIFS('Diario'!$G$5:$G$504,H66,'Diario'!$AI$5:$AI$504,1,'Diario'!$R$5:$R$504,"&gt;0")/(COUNTIFS('Diario'!$G$5:$G$504,H66,'Diario'!$AI$5:$AI$504,1,'Diario'!$R$5:$R$504,"&gt;0")+COUNTIFS('Diario'!$G$5:$G$504,H66,'Diario'!$AI$5:$AI$504,1,'Diario'!$R$5:$R$504,"&lt;0")),""))</f>
        <v/>
      </c>
      <c r="K66" s="47">
        <f>IF(H66="","",SUMIFS('Diario'!$AJ$5:$AJ$504,'Diario'!$G$5:$G$504,H66))</f>
        <v>0</v>
      </c>
      <c r="L66" s="49" t="str">
        <f>IF(OR(H66="",N(I66)=0),"",IFERROR(AVERAGEIFS('Diario'!$T$5:$T$504,'Diario'!$G$5:$G$504,H66,'Diario'!$AI$5:$AI$504,1),""))</f>
        <v/>
      </c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  <c r="AA66" s="1" t="n"/>
      <c r="AB66" s="1" t="n"/>
      <c r="AC66" s="1" t="n"/>
      <c r="AD66" s="1" t="n">
        <v>61</v>
      </c>
      <c r="AE66" t="e">
        <f>IF(61&gt;$AB$5,NA(),INDEX('Diario'!$AK$5:$AK$504,MATCH(61,'Diario'!$AQ$5:$AQ$504,0)))</f>
        <v>#N/A</v>
      </c>
    </row>
    <row r="67">
      <c r="A67" s="1" t="n"/>
      <c r="B67" s="5" t="str">
        <f>IF('Listas'!$B$11="","",'Listas'!$B$11)</f>
        <v>Giro</v>
      </c>
      <c r="C67" s="45">
        <f>IF(B67="","",COUNTIFS('Diario'!$V$5:$V$504,B67,'Diario'!$AI$5:$AI$504,1))</f>
        <v>0</v>
      </c>
      <c r="D67" s="46" t="str">
        <f>IF(OR(B67="",N(C67)=0),"",IFERROR(COUNTIFS('Diario'!$V$5:$V$504,B67,'Diario'!$AI$5:$AI$504,1,'Diario'!$R$5:$R$504,"&gt;0")/(COUNTIFS('Diario'!$V$5:$V$504,B67,'Diario'!$AI$5:$AI$504,1,'Diario'!$R$5:$R$504,"&gt;0")+COUNTIFS('Diario'!$V$5:$V$504,B67,'Diario'!$AI$5:$AI$504,1,'Diario'!$R$5:$R$504,"&lt;0")),""))</f>
        <v/>
      </c>
      <c r="E67" s="47">
        <f>IF(B67="","",SUMIFS('Diario'!$AJ$5:$AJ$504,'Diario'!$V$5:$V$504,B67))</f>
        <v>0</v>
      </c>
      <c r="F67" s="49" t="str">
        <f>IF(OR(B67="",N(C67)=0),"",IFERROR(AVERAGEIFS('Diario'!$T$5:$T$504,'Diario'!$V$5:$V$504,B67,'Diario'!$AI$5:$AI$504,1),""))</f>
        <v/>
      </c>
      <c r="G67" s="1" t="n"/>
      <c r="H67" s="5" t="str">
        <f>IF('Listas'!$M$11="","",'Listas'!$M$11)</f>
        <v>USDCHF</v>
      </c>
      <c r="I67" s="45">
        <f>IF(H67="","",COUNTIFS('Diario'!$G$5:$G$504,H67,'Diario'!$AI$5:$AI$504,1))</f>
        <v>0</v>
      </c>
      <c r="J67" s="46" t="str">
        <f>IF(OR(H67="",N(I67)=0),"",IFERROR(COUNTIFS('Diario'!$G$5:$G$504,H67,'Diario'!$AI$5:$AI$504,1,'Diario'!$R$5:$R$504,"&gt;0")/(COUNTIFS('Diario'!$G$5:$G$504,H67,'Diario'!$AI$5:$AI$504,1,'Diario'!$R$5:$R$504,"&gt;0")+COUNTIFS('Diario'!$G$5:$G$504,H67,'Diario'!$AI$5:$AI$504,1,'Diario'!$R$5:$R$504,"&lt;0")),""))</f>
        <v/>
      </c>
      <c r="K67" s="47">
        <f>IF(H67="","",SUMIFS('Diario'!$AJ$5:$AJ$504,'Diario'!$G$5:$G$504,H67))</f>
        <v>0</v>
      </c>
      <c r="L67" s="49" t="str">
        <f>IF(OR(H67="",N(I67)=0),"",IFERROR(AVERAGEIFS('Diario'!$T$5:$T$504,'Diario'!$G$5:$G$504,H67,'Diario'!$AI$5:$AI$504,1),""))</f>
        <v/>
      </c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  <c r="AA67" s="1" t="n"/>
      <c r="AB67" s="1" t="n"/>
      <c r="AC67" s="1" t="n"/>
      <c r="AD67" s="1" t="n">
        <v>62</v>
      </c>
      <c r="AE67" t="e">
        <f>IF(62&gt;$AB$5,NA(),INDEX('Diario'!$AK$5:$AK$504,MATCH(62,'Diario'!$AQ$5:$AQ$504,0)))</f>
        <v>#N/A</v>
      </c>
    </row>
    <row r="68">
      <c r="A68" s="1" t="n"/>
      <c r="B68" s="5" t="str">
        <f>IF('Listas'!$B$12="","",'Listas'!$B$12)</f>
        <v/>
      </c>
      <c r="C68" s="45" t="str">
        <f>IF(B68="","",COUNTIFS('Diario'!$V$5:$V$504,B68,'Diario'!$AI$5:$AI$504,1))</f>
        <v/>
      </c>
      <c r="D68" s="46" t="str">
        <f>IF(OR(B68="",N(C68)=0),"",IFERROR(COUNTIFS('Diario'!$V$5:$V$504,B68,'Diario'!$AI$5:$AI$504,1,'Diario'!$R$5:$R$504,"&gt;0")/(COUNTIFS('Diario'!$V$5:$V$504,B68,'Diario'!$AI$5:$AI$504,1,'Diario'!$R$5:$R$504,"&gt;0")+COUNTIFS('Diario'!$V$5:$V$504,B68,'Diario'!$AI$5:$AI$504,1,'Diario'!$R$5:$R$504,"&lt;0")),""))</f>
        <v/>
      </c>
      <c r="E68" s="47" t="str">
        <f>IF(B68="","",SUMIFS('Diario'!$AJ$5:$AJ$504,'Diario'!$V$5:$V$504,B68))</f>
        <v/>
      </c>
      <c r="F68" s="49" t="str">
        <f>IF(OR(B68="",N(C68)=0),"",IFERROR(AVERAGEIFS('Diario'!$T$5:$T$504,'Diario'!$V$5:$V$504,B68,'Diario'!$AI$5:$AI$504,1),""))</f>
        <v/>
      </c>
      <c r="G68" s="1" t="n"/>
      <c r="H68" s="5" t="str">
        <f>IF('Listas'!$M$12="","",'Listas'!$M$12)</f>
        <v>EURJPY</v>
      </c>
      <c r="I68" s="45">
        <f>IF(H68="","",COUNTIFS('Diario'!$G$5:$G$504,H68,'Diario'!$AI$5:$AI$504,1))</f>
        <v>0</v>
      </c>
      <c r="J68" s="46" t="str">
        <f>IF(OR(H68="",N(I68)=0),"",IFERROR(COUNTIFS('Diario'!$G$5:$G$504,H68,'Diario'!$AI$5:$AI$504,1,'Diario'!$R$5:$R$504,"&gt;0")/(COUNTIFS('Diario'!$G$5:$G$504,H68,'Diario'!$AI$5:$AI$504,1,'Diario'!$R$5:$R$504,"&gt;0")+COUNTIFS('Diario'!$G$5:$G$504,H68,'Diario'!$AI$5:$AI$504,1,'Diario'!$R$5:$R$504,"&lt;0")),""))</f>
        <v/>
      </c>
      <c r="K68" s="47">
        <f>IF(H68="","",SUMIFS('Diario'!$AJ$5:$AJ$504,'Diario'!$G$5:$G$504,H68))</f>
        <v>0</v>
      </c>
      <c r="L68" s="49" t="str">
        <f>IF(OR(H68="",N(I68)=0),"",IFERROR(AVERAGEIFS('Diario'!$T$5:$T$504,'Diario'!$G$5:$G$504,H68,'Diario'!$AI$5:$AI$504,1),""))</f>
        <v/>
      </c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  <c r="AA68" s="1" t="n"/>
      <c r="AB68" s="1" t="n"/>
      <c r="AC68" s="1" t="n"/>
      <c r="AD68" s="1" t="n">
        <v>63</v>
      </c>
      <c r="AE68" t="e">
        <f>IF(63&gt;$AB$5,NA(),INDEX('Diario'!$AK$5:$AK$504,MATCH(63,'Diario'!$AQ$5:$AQ$504,0)))</f>
        <v>#N/A</v>
      </c>
    </row>
    <row r="69">
      <c r="A69" s="1" t="n"/>
      <c r="B69" s="5" t="str">
        <f>IF('Listas'!$B$13="","",'Listas'!$B$13)</f>
        <v/>
      </c>
      <c r="C69" s="45" t="str">
        <f>IF(B69="","",COUNTIFS('Diario'!$V$5:$V$504,B69,'Diario'!$AI$5:$AI$504,1))</f>
        <v/>
      </c>
      <c r="D69" s="46" t="str">
        <f>IF(OR(B69="",N(C69)=0),"",IFERROR(COUNTIFS('Diario'!$V$5:$V$504,B69,'Diario'!$AI$5:$AI$504,1,'Diario'!$R$5:$R$504,"&gt;0")/(COUNTIFS('Diario'!$V$5:$V$504,B69,'Diario'!$AI$5:$AI$504,1,'Diario'!$R$5:$R$504,"&gt;0")+COUNTIFS('Diario'!$V$5:$V$504,B69,'Diario'!$AI$5:$AI$504,1,'Diario'!$R$5:$R$504,"&lt;0")),""))</f>
        <v/>
      </c>
      <c r="E69" s="47" t="str">
        <f>IF(B69="","",SUMIFS('Diario'!$AJ$5:$AJ$504,'Diario'!$V$5:$V$504,B69))</f>
        <v/>
      </c>
      <c r="F69" s="49" t="str">
        <f>IF(OR(B69="",N(C69)=0),"",IFERROR(AVERAGEIFS('Diario'!$T$5:$T$504,'Diario'!$V$5:$V$504,B69,'Diario'!$AI$5:$AI$504,1),""))</f>
        <v/>
      </c>
      <c r="G69" s="1" t="n"/>
      <c r="H69" s="5" t="str">
        <f>IF('Listas'!$M$13="","",'Listas'!$M$13)</f>
        <v>GBPJPY</v>
      </c>
      <c r="I69" s="45">
        <f>IF(H69="","",COUNTIFS('Diario'!$G$5:$G$504,H69,'Diario'!$AI$5:$AI$504,1))</f>
        <v>0</v>
      </c>
      <c r="J69" s="46" t="str">
        <f>IF(OR(H69="",N(I69)=0),"",IFERROR(COUNTIFS('Diario'!$G$5:$G$504,H69,'Diario'!$AI$5:$AI$504,1,'Diario'!$R$5:$R$504,"&gt;0")/(COUNTIFS('Diario'!$G$5:$G$504,H69,'Diario'!$AI$5:$AI$504,1,'Diario'!$R$5:$R$504,"&gt;0")+COUNTIFS('Diario'!$G$5:$G$504,H69,'Diario'!$AI$5:$AI$504,1,'Diario'!$R$5:$R$504,"&lt;0")),""))</f>
        <v/>
      </c>
      <c r="K69" s="47">
        <f>IF(H69="","",SUMIFS('Diario'!$AJ$5:$AJ$504,'Diario'!$G$5:$G$504,H69))</f>
        <v>0</v>
      </c>
      <c r="L69" s="49" t="str">
        <f>IF(OR(H69="",N(I69)=0),"",IFERROR(AVERAGEIFS('Diario'!$T$5:$T$504,'Diario'!$G$5:$G$504,H69,'Diario'!$AI$5:$AI$504,1),""))</f>
        <v/>
      </c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  <c r="AA69" s="1" t="n"/>
      <c r="AB69" s="1" t="n"/>
      <c r="AC69" s="1" t="n"/>
      <c r="AD69" s="1" t="n">
        <v>64</v>
      </c>
      <c r="AE69" t="e">
        <f>IF(64&gt;$AB$5,NA(),INDEX('Diario'!$AK$5:$AK$504,MATCH(64,'Diario'!$AQ$5:$AQ$504,0)))</f>
        <v>#N/A</v>
      </c>
    </row>
    <row r="70">
      <c r="A70" s="1" t="n"/>
      <c r="B70" s="5" t="str">
        <f>IF('Listas'!$B$14="","",'Listas'!$B$14)</f>
        <v/>
      </c>
      <c r="C70" s="45" t="str">
        <f>IF(B70="","",COUNTIFS('Diario'!$V$5:$V$504,B70,'Diario'!$AI$5:$AI$504,1))</f>
        <v/>
      </c>
      <c r="D70" s="46" t="str">
        <f>IF(OR(B70="",N(C70)=0),"",IFERROR(COUNTIFS('Diario'!$V$5:$V$504,B70,'Diario'!$AI$5:$AI$504,1,'Diario'!$R$5:$R$504,"&gt;0")/(COUNTIFS('Diario'!$V$5:$V$504,B70,'Diario'!$AI$5:$AI$504,1,'Diario'!$R$5:$R$504,"&gt;0")+COUNTIFS('Diario'!$V$5:$V$504,B70,'Diario'!$AI$5:$AI$504,1,'Diario'!$R$5:$R$504,"&lt;0")),""))</f>
        <v/>
      </c>
      <c r="E70" s="47" t="str">
        <f>IF(B70="","",SUMIFS('Diario'!$AJ$5:$AJ$504,'Diario'!$V$5:$V$504,B70))</f>
        <v/>
      </c>
      <c r="F70" s="49" t="str">
        <f>IF(OR(B70="",N(C70)=0),"",IFERROR(AVERAGEIFS('Diario'!$T$5:$T$504,'Diario'!$V$5:$V$504,B70,'Diario'!$AI$5:$AI$504,1),""))</f>
        <v/>
      </c>
      <c r="G70" s="1" t="n"/>
      <c r="H70" s="5" t="str">
        <f>IF('Listas'!$M$14="","",'Listas'!$M$14)</f>
        <v>EURGBP</v>
      </c>
      <c r="I70" s="45">
        <f>IF(H70="","",COUNTIFS('Diario'!$G$5:$G$504,H70,'Diario'!$AI$5:$AI$504,1))</f>
        <v>0</v>
      </c>
      <c r="J70" s="46" t="str">
        <f>IF(OR(H70="",N(I70)=0),"",IFERROR(COUNTIFS('Diario'!$G$5:$G$504,H70,'Diario'!$AI$5:$AI$504,1,'Diario'!$R$5:$R$504,"&gt;0")/(COUNTIFS('Diario'!$G$5:$G$504,H70,'Diario'!$AI$5:$AI$504,1,'Diario'!$R$5:$R$504,"&gt;0")+COUNTIFS('Diario'!$G$5:$G$504,H70,'Diario'!$AI$5:$AI$504,1,'Diario'!$R$5:$R$504,"&lt;0")),""))</f>
        <v/>
      </c>
      <c r="K70" s="47">
        <f>IF(H70="","",SUMIFS('Diario'!$AJ$5:$AJ$504,'Diario'!$G$5:$G$504,H70))</f>
        <v>0</v>
      </c>
      <c r="L70" s="49" t="str">
        <f>IF(OR(H70="",N(I70)=0),"",IFERROR(AVERAGEIFS('Diario'!$T$5:$T$504,'Diario'!$G$5:$G$504,H70,'Diario'!$AI$5:$AI$504,1),""))</f>
        <v/>
      </c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  <c r="AA70" s="1" t="n"/>
      <c r="AB70" s="1" t="n"/>
      <c r="AC70" s="1" t="n"/>
      <c r="AD70" s="1" t="n">
        <v>65</v>
      </c>
      <c r="AE70" t="e">
        <f>IF(65&gt;$AB$5,NA(),INDEX('Diario'!$AK$5:$AK$504,MATCH(65,'Diario'!$AQ$5:$AQ$504,0)))</f>
        <v>#N/A</v>
      </c>
    </row>
    <row r="71">
      <c r="A71" s="1" t="n"/>
      <c r="B71" s="5" t="str">
        <f>IF('Listas'!$B$15="","",'Listas'!$B$15)</f>
        <v/>
      </c>
      <c r="C71" s="45" t="str">
        <f>IF(B71="","",COUNTIFS('Diario'!$V$5:$V$504,B71,'Diario'!$AI$5:$AI$504,1))</f>
        <v/>
      </c>
      <c r="D71" s="46" t="str">
        <f>IF(OR(B71="",N(C71)=0),"",IFERROR(COUNTIFS('Diario'!$V$5:$V$504,B71,'Diario'!$AI$5:$AI$504,1,'Diario'!$R$5:$R$504,"&gt;0")/(COUNTIFS('Diario'!$V$5:$V$504,B71,'Diario'!$AI$5:$AI$504,1,'Diario'!$R$5:$R$504,"&gt;0")+COUNTIFS('Diario'!$V$5:$V$504,B71,'Diario'!$AI$5:$AI$504,1,'Diario'!$R$5:$R$504,"&lt;0")),""))</f>
        <v/>
      </c>
      <c r="E71" s="47" t="str">
        <f>IF(B71="","",SUMIFS('Diario'!$AJ$5:$AJ$504,'Diario'!$V$5:$V$504,B71))</f>
        <v/>
      </c>
      <c r="F71" s="49" t="str">
        <f>IF(OR(B71="",N(C71)=0),"",IFERROR(AVERAGEIFS('Diario'!$T$5:$T$504,'Diario'!$V$5:$V$504,B71,'Diario'!$AI$5:$AI$504,1),""))</f>
        <v/>
      </c>
      <c r="G71" s="1" t="n"/>
      <c r="H71" s="5" t="str">
        <f>IF('Listas'!$M$15="","",'Listas'!$M$15)</f>
        <v>XAUUSD</v>
      </c>
      <c r="I71" s="45">
        <f>IF(H71="","",COUNTIFS('Diario'!$G$5:$G$504,H71,'Diario'!$AI$5:$AI$504,1))</f>
        <v>3</v>
      </c>
      <c r="J71" s="46">
        <f>IF(OR(H71="",N(I71)=0),"",IFERROR(COUNTIFS('Diario'!$G$5:$G$504,H71,'Diario'!$AI$5:$AI$504,1,'Diario'!$R$5:$R$504,"&gt;0")/(COUNTIFS('Diario'!$G$5:$G$504,H71,'Diario'!$AI$5:$AI$504,1,'Diario'!$R$5:$R$504,"&gt;0")+COUNTIFS('Diario'!$G$5:$G$504,H71,'Diario'!$AI$5:$AI$504,1,'Diario'!$R$5:$R$504,"&lt;0")),""))</f>
        <v>1</v>
      </c>
      <c r="K71" s="47">
        <f>IF(H71="","",SUMIFS('Diario'!$AJ$5:$AJ$504,'Diario'!$G$5:$G$504,H71))</f>
        <v>528</v>
      </c>
      <c r="L71" s="49">
        <f>IF(OR(H71="",N(I71)=0),"",IFERROR(AVERAGEIFS('Diario'!$T$5:$T$504,'Diario'!$G$5:$G$504,H71,'Diario'!$AI$5:$AI$504,1),""))</f>
        <v>1.8333333333333333</v>
      </c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  <c r="AA71" s="1" t="n"/>
      <c r="AB71" s="1" t="n"/>
      <c r="AC71" s="1" t="n"/>
      <c r="AD71" s="1" t="n">
        <v>66</v>
      </c>
      <c r="AE71" t="e">
        <f>IF(66&gt;$AB$5,NA(),INDEX('Diario'!$AK$5:$AK$504,MATCH(66,'Diario'!$AQ$5:$AQ$504,0)))</f>
        <v>#N/A</v>
      </c>
    </row>
    <row r="72">
      <c r="A72" s="1" t="n"/>
      <c r="B72" s="5" t="str">
        <f>IF('Listas'!$B$16="","",'Listas'!$B$16)</f>
        <v/>
      </c>
      <c r="C72" s="45" t="str">
        <f>IF(B72="","",COUNTIFS('Diario'!$V$5:$V$504,B72,'Diario'!$AI$5:$AI$504,1))</f>
        <v/>
      </c>
      <c r="D72" s="46" t="str">
        <f>IF(OR(B72="",N(C72)=0),"",IFERROR(COUNTIFS('Diario'!$V$5:$V$504,B72,'Diario'!$AI$5:$AI$504,1,'Diario'!$R$5:$R$504,"&gt;0")/(COUNTIFS('Diario'!$V$5:$V$504,B72,'Diario'!$AI$5:$AI$504,1,'Diario'!$R$5:$R$504,"&gt;0")+COUNTIFS('Diario'!$V$5:$V$504,B72,'Diario'!$AI$5:$AI$504,1,'Diario'!$R$5:$R$504,"&lt;0")),""))</f>
        <v/>
      </c>
      <c r="E72" s="47" t="str">
        <f>IF(B72="","",SUMIFS('Diario'!$AJ$5:$AJ$504,'Diario'!$V$5:$V$504,B72))</f>
        <v/>
      </c>
      <c r="F72" s="49" t="str">
        <f>IF(OR(B72="",N(C72)=0),"",IFERROR(AVERAGEIFS('Diario'!$T$5:$T$504,'Diario'!$V$5:$V$504,B72,'Diario'!$AI$5:$AI$504,1),""))</f>
        <v/>
      </c>
      <c r="G72" s="1" t="n"/>
      <c r="H72" s="5" t="str">
        <f>IF('Listas'!$M$16="","",'Listas'!$M$16)</f>
        <v>XAGUSD</v>
      </c>
      <c r="I72" s="45">
        <f>IF(H72="","",COUNTIFS('Diario'!$G$5:$G$504,H72,'Diario'!$AI$5:$AI$504,1))</f>
        <v>0</v>
      </c>
      <c r="J72" s="46" t="str">
        <f>IF(OR(H72="",N(I72)=0),"",IFERROR(COUNTIFS('Diario'!$G$5:$G$504,H72,'Diario'!$AI$5:$AI$504,1,'Diario'!$R$5:$R$504,"&gt;0")/(COUNTIFS('Diario'!$G$5:$G$504,H72,'Diario'!$AI$5:$AI$504,1,'Diario'!$R$5:$R$504,"&gt;0")+COUNTIFS('Diario'!$G$5:$G$504,H72,'Diario'!$AI$5:$AI$504,1,'Diario'!$R$5:$R$504,"&lt;0")),""))</f>
        <v/>
      </c>
      <c r="K72" s="47">
        <f>IF(H72="","",SUMIFS('Diario'!$AJ$5:$AJ$504,'Diario'!$G$5:$G$504,H72))</f>
        <v>0</v>
      </c>
      <c r="L72" s="49" t="str">
        <f>IF(OR(H72="",N(I72)=0),"",IFERROR(AVERAGEIFS('Diario'!$T$5:$T$504,'Diario'!$G$5:$G$504,H72,'Diario'!$AI$5:$AI$504,1),""))</f>
        <v/>
      </c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  <c r="AA72" s="1" t="n"/>
      <c r="AB72" s="1" t="n"/>
      <c r="AC72" s="1" t="n"/>
      <c r="AD72" s="1" t="n">
        <v>67</v>
      </c>
      <c r="AE72" t="e">
        <f>IF(67&gt;$AB$5,NA(),INDEX('Diario'!$AK$5:$AK$504,MATCH(67,'Diario'!$AQ$5:$AQ$504,0)))</f>
        <v>#N/A</v>
      </c>
    </row>
    <row r="73">
      <c r="A73" s="1" t="n"/>
      <c r="B73" s="5" t="str">
        <f>IF('Listas'!$B$17="","",'Listas'!$B$17)</f>
        <v/>
      </c>
      <c r="C73" s="45" t="str">
        <f>IF(B73="","",COUNTIFS('Diario'!$V$5:$V$504,B73,'Diario'!$AI$5:$AI$504,1))</f>
        <v/>
      </c>
      <c r="D73" s="46" t="str">
        <f>IF(OR(B73="",N(C73)=0),"",IFERROR(COUNTIFS('Diario'!$V$5:$V$504,B73,'Diario'!$AI$5:$AI$504,1,'Diario'!$R$5:$R$504,"&gt;0")/(COUNTIFS('Diario'!$V$5:$V$504,B73,'Diario'!$AI$5:$AI$504,1,'Diario'!$R$5:$R$504,"&gt;0")+COUNTIFS('Diario'!$V$5:$V$504,B73,'Diario'!$AI$5:$AI$504,1,'Diario'!$R$5:$R$504,"&lt;0")),""))</f>
        <v/>
      </c>
      <c r="E73" s="47" t="str">
        <f>IF(B73="","",SUMIFS('Diario'!$AJ$5:$AJ$504,'Diario'!$V$5:$V$504,B73))</f>
        <v/>
      </c>
      <c r="F73" s="49" t="str">
        <f>IF(OR(B73="",N(C73)=0),"",IFERROR(AVERAGEIFS('Diario'!$T$5:$T$504,'Diario'!$V$5:$V$504,B73,'Diario'!$AI$5:$AI$504,1),""))</f>
        <v/>
      </c>
      <c r="G73" s="1" t="n"/>
      <c r="H73" s="5" t="str">
        <f>IF('Listas'!$M$17="","",'Listas'!$M$17)</f>
        <v>NAS100</v>
      </c>
      <c r="I73" s="45">
        <f>IF(H73="","",COUNTIFS('Diario'!$G$5:$G$504,H73,'Diario'!$AI$5:$AI$504,1))</f>
        <v>7</v>
      </c>
      <c r="J73" s="46">
        <f>IF(OR(H73="",N(I73)=0),"",IFERROR(COUNTIFS('Diario'!$G$5:$G$504,H73,'Diario'!$AI$5:$AI$504,1,'Diario'!$R$5:$R$504,"&gt;0")/(COUNTIFS('Diario'!$G$5:$G$504,H73,'Diario'!$AI$5:$AI$504,1,'Diario'!$R$5:$R$504,"&gt;0")+COUNTIFS('Diario'!$G$5:$G$504,H73,'Diario'!$AI$5:$AI$504,1,'Diario'!$R$5:$R$504,"&lt;0")),""))</f>
        <v>0.2857142857142857</v>
      </c>
      <c r="K73" s="47">
        <f>IF(H73="","",SUMIFS('Diario'!$AJ$5:$AJ$504,'Diario'!$G$5:$G$504,H73))</f>
        <v>-108</v>
      </c>
      <c r="L73" s="49">
        <f>IF(OR(H73="",N(I73)=0),"",IFERROR(AVERAGEIFS('Diario'!$T$5:$T$504,'Diario'!$G$5:$G$504,H73,'Diario'!$AI$5:$AI$504,1),""))</f>
        <v>-0.17142857142857143</v>
      </c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  <c r="AA73" s="1" t="n"/>
      <c r="AB73" s="1" t="n"/>
      <c r="AC73" s="1" t="n"/>
      <c r="AD73" s="1" t="n">
        <v>68</v>
      </c>
      <c r="AE73" t="e">
        <f>IF(68&gt;$AB$5,NA(),INDEX('Diario'!$AK$5:$AK$504,MATCH(68,'Diario'!$AQ$5:$AQ$504,0)))</f>
        <v>#N/A</v>
      </c>
    </row>
    <row r="74">
      <c r="A74" s="1" t="n"/>
      <c r="B74" s="1" t="n"/>
      <c r="C74" s="1" t="n"/>
      <c r="D74" s="1" t="n"/>
      <c r="E74" s="1" t="n"/>
      <c r="F74" s="1" t="n"/>
      <c r="G74" s="1" t="n"/>
      <c r="H74" s="5" t="str">
        <f>IF('Listas'!$M$18="","",'Listas'!$M$18)</f>
        <v>US30</v>
      </c>
      <c r="I74" s="45">
        <f>IF(H74="","",COUNTIFS('Diario'!$G$5:$G$504,H74,'Diario'!$AI$5:$AI$504,1))</f>
        <v>1</v>
      </c>
      <c r="J74" s="46">
        <f>IF(OR(H74="",N(I74)=0),"",IFERROR(COUNTIFS('Diario'!$G$5:$G$504,H74,'Diario'!$AI$5:$AI$504,1,'Diario'!$R$5:$R$504,"&gt;0")/(COUNTIFS('Diario'!$G$5:$G$504,H74,'Diario'!$AI$5:$AI$504,1,'Diario'!$R$5:$R$504,"&gt;0")+COUNTIFS('Diario'!$G$5:$G$504,H74,'Diario'!$AI$5:$AI$504,1,'Diario'!$R$5:$R$504,"&lt;0")),""))</f>
        <v>1</v>
      </c>
      <c r="K74" s="47">
        <f>IF(H74="","",SUMIFS('Diario'!$AJ$5:$AJ$504,'Diario'!$G$5:$G$504,H74))</f>
        <v>211.20000000000002</v>
      </c>
      <c r="L74" s="49">
        <f>IF(OR(H74="",N(I74)=0),"",IFERROR(AVERAGEIFS('Diario'!$T$5:$T$504,'Diario'!$G$5:$G$504,H74,'Diario'!$AI$5:$AI$504,1),""))</f>
        <v>2.2</v>
      </c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  <c r="AA74" s="1" t="n"/>
      <c r="AB74" s="1" t="n"/>
      <c r="AC74" s="1" t="n"/>
      <c r="AD74" s="1" t="n">
        <v>69</v>
      </c>
      <c r="AE74" t="e">
        <f>IF(69&gt;$AB$5,NA(),INDEX('Diario'!$AK$5:$AK$504,MATCH(69,'Diario'!$AQ$5:$AQ$504,0)))</f>
        <v>#N/A</v>
      </c>
    </row>
    <row r="75">
      <c r="A75" s="1" t="n"/>
      <c r="B75" s="1" t="n"/>
      <c r="C75" s="1" t="n"/>
      <c r="D75" s="1" t="n"/>
      <c r="E75" s="1" t="n"/>
      <c r="F75" s="1" t="n"/>
      <c r="G75" s="1" t="n"/>
      <c r="H75" s="5" t="str">
        <f>IF('Listas'!$M$19="","",'Listas'!$M$19)</f>
        <v>SPX500</v>
      </c>
      <c r="I75" s="45">
        <f>IF(H75="","",COUNTIFS('Diario'!$G$5:$G$504,H75,'Diario'!$AI$5:$AI$504,1))</f>
        <v>0</v>
      </c>
      <c r="J75" s="46" t="str">
        <f>IF(OR(H75="",N(I75)=0),"",IFERROR(COUNTIFS('Diario'!$G$5:$G$504,H75,'Diario'!$AI$5:$AI$504,1,'Diario'!$R$5:$R$504,"&gt;0")/(COUNTIFS('Diario'!$G$5:$G$504,H75,'Diario'!$AI$5:$AI$504,1,'Diario'!$R$5:$R$504,"&gt;0")+COUNTIFS('Diario'!$G$5:$G$504,H75,'Diario'!$AI$5:$AI$504,1,'Diario'!$R$5:$R$504,"&lt;0")),""))</f>
        <v/>
      </c>
      <c r="K75" s="47">
        <f>IF(H75="","",SUMIFS('Diario'!$AJ$5:$AJ$504,'Diario'!$G$5:$G$504,H75))</f>
        <v>0</v>
      </c>
      <c r="L75" s="49" t="str">
        <f>IF(OR(H75="",N(I75)=0),"",IFERROR(AVERAGEIFS('Diario'!$T$5:$T$504,'Diario'!$G$5:$G$504,H75,'Diario'!$AI$5:$AI$504,1),""))</f>
        <v/>
      </c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  <c r="AA75" s="1" t="n"/>
      <c r="AB75" s="1" t="n"/>
      <c r="AC75" s="1" t="n"/>
      <c r="AD75" s="1" t="n">
        <v>70</v>
      </c>
      <c r="AE75" t="e">
        <f>IF(70&gt;$AB$5,NA(),INDEX('Diario'!$AK$5:$AK$504,MATCH(70,'Diario'!$AQ$5:$AQ$504,0)))</f>
        <v>#N/A</v>
      </c>
    </row>
    <row r="76">
      <c r="A76" s="1" t="n"/>
      <c r="B76" s="1" t="n"/>
      <c r="C76" s="1" t="n"/>
      <c r="D76" s="1" t="n"/>
      <c r="E76" s="1" t="n"/>
      <c r="F76" s="1" t="n"/>
      <c r="G76" s="1" t="n"/>
      <c r="H76" s="5" t="str">
        <f>IF('Listas'!$M$20="","",'Listas'!$M$20)</f>
        <v>GER40</v>
      </c>
      <c r="I76" s="45">
        <f>IF(H76="","",COUNTIFS('Diario'!$G$5:$G$504,H76,'Diario'!$AI$5:$AI$504,1))</f>
        <v>0</v>
      </c>
      <c r="J76" s="46" t="str">
        <f>IF(OR(H76="",N(I76)=0),"",IFERROR(COUNTIFS('Diario'!$G$5:$G$504,H76,'Diario'!$AI$5:$AI$504,1,'Diario'!$R$5:$R$504,"&gt;0")/(COUNTIFS('Diario'!$G$5:$G$504,H76,'Diario'!$AI$5:$AI$504,1,'Diario'!$R$5:$R$504,"&gt;0")+COUNTIFS('Diario'!$G$5:$G$504,H76,'Diario'!$AI$5:$AI$504,1,'Diario'!$R$5:$R$504,"&lt;0")),""))</f>
        <v/>
      </c>
      <c r="K76" s="47">
        <f>IF(H76="","",SUMIFS('Diario'!$AJ$5:$AJ$504,'Diario'!$G$5:$G$504,H76))</f>
        <v>0</v>
      </c>
      <c r="L76" s="49" t="str">
        <f>IF(OR(H76="",N(I76)=0),"",IFERROR(AVERAGEIFS('Diario'!$T$5:$T$504,'Diario'!$G$5:$G$504,H76,'Diario'!$AI$5:$AI$504,1),""))</f>
        <v/>
      </c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  <c r="AA76" s="1" t="n"/>
      <c r="AB76" s="1" t="n"/>
      <c r="AC76" s="1" t="n"/>
      <c r="AD76" s="1" t="n">
        <v>71</v>
      </c>
      <c r="AE76" t="e">
        <f>IF(71&gt;$AB$5,NA(),INDEX('Diario'!$AK$5:$AK$504,MATCH(71,'Diario'!$AQ$5:$AQ$504,0)))</f>
        <v>#N/A</v>
      </c>
    </row>
    <row r="77">
      <c r="A77" s="1" t="n"/>
      <c r="B77" s="1" t="n"/>
      <c r="C77" s="1" t="n"/>
      <c r="D77" s="1" t="n"/>
      <c r="E77" s="1" t="n"/>
      <c r="F77" s="1" t="n"/>
      <c r="G77" s="1" t="n"/>
      <c r="H77" s="5" t="str">
        <f>IF('Listas'!$M$21="","",'Listas'!$M$21)</f>
        <v>USOIL</v>
      </c>
      <c r="I77" s="45">
        <f>IF(H77="","",COUNTIFS('Diario'!$G$5:$G$504,H77,'Diario'!$AI$5:$AI$504,1))</f>
        <v>0</v>
      </c>
      <c r="J77" s="46" t="str">
        <f>IF(OR(H77="",N(I77)=0),"",IFERROR(COUNTIFS('Diario'!$G$5:$G$504,H77,'Diario'!$AI$5:$AI$504,1,'Diario'!$R$5:$R$504,"&gt;0")/(COUNTIFS('Diario'!$G$5:$G$504,H77,'Diario'!$AI$5:$AI$504,1,'Diario'!$R$5:$R$504,"&gt;0")+COUNTIFS('Diario'!$G$5:$G$504,H77,'Diario'!$AI$5:$AI$504,1,'Diario'!$R$5:$R$504,"&lt;0")),""))</f>
        <v/>
      </c>
      <c r="K77" s="47">
        <f>IF(H77="","",SUMIFS('Diario'!$AJ$5:$AJ$504,'Diario'!$G$5:$G$504,H77))</f>
        <v>0</v>
      </c>
      <c r="L77" s="49" t="str">
        <f>IF(OR(H77="",N(I77)=0),"",IFERROR(AVERAGEIFS('Diario'!$T$5:$T$504,'Diario'!$G$5:$G$504,H77,'Diario'!$AI$5:$AI$504,1),""))</f>
        <v/>
      </c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  <c r="AA77" s="1" t="n"/>
      <c r="AB77" s="1" t="n"/>
      <c r="AC77" s="1" t="n"/>
      <c r="AD77" s="1" t="n">
        <v>72</v>
      </c>
      <c r="AE77" t="e">
        <f>IF(72&gt;$AB$5,NA(),INDEX('Diario'!$AK$5:$AK$504,MATCH(72,'Diario'!$AQ$5:$AQ$504,0)))</f>
        <v>#N/A</v>
      </c>
    </row>
    <row r="78">
      <c r="A78" s="1" t="n"/>
      <c r="B78" s="1" t="n"/>
      <c r="C78" s="1" t="n"/>
      <c r="D78" s="1" t="n"/>
      <c r="E78" s="1" t="n"/>
      <c r="F78" s="1" t="n"/>
      <c r="G78" s="1" t="n"/>
      <c r="H78" s="5" t="str">
        <f>IF('Listas'!$M$22="","",'Listas'!$M$22)</f>
        <v>BTCUSD</v>
      </c>
      <c r="I78" s="45">
        <f>IF(H78="","",COUNTIFS('Diario'!$G$5:$G$504,H78,'Diario'!$AI$5:$AI$504,1))</f>
        <v>0</v>
      </c>
      <c r="J78" s="46" t="str">
        <f>IF(OR(H78="",N(I78)=0),"",IFERROR(COUNTIFS('Diario'!$G$5:$G$504,H78,'Diario'!$AI$5:$AI$504,1,'Diario'!$R$5:$R$504,"&gt;0")/(COUNTIFS('Diario'!$G$5:$G$504,H78,'Diario'!$AI$5:$AI$504,1,'Diario'!$R$5:$R$504,"&gt;0")+COUNTIFS('Diario'!$G$5:$G$504,H78,'Diario'!$AI$5:$AI$504,1,'Diario'!$R$5:$R$504,"&lt;0")),""))</f>
        <v/>
      </c>
      <c r="K78" s="47">
        <f>IF(H78="","",SUMIFS('Diario'!$AJ$5:$AJ$504,'Diario'!$G$5:$G$504,H78))</f>
        <v>0</v>
      </c>
      <c r="L78" s="49" t="str">
        <f>IF(OR(H78="",N(I78)=0),"",IFERROR(AVERAGEIFS('Diario'!$T$5:$T$504,'Diario'!$G$5:$G$504,H78,'Diario'!$AI$5:$AI$504,1),""))</f>
        <v/>
      </c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  <c r="AA78" s="1" t="n"/>
      <c r="AB78" s="1" t="n"/>
      <c r="AC78" s="1" t="n"/>
      <c r="AD78" s="1" t="n">
        <v>73</v>
      </c>
      <c r="AE78" t="e">
        <f>IF(73&gt;$AB$5,NA(),INDEX('Diario'!$AK$5:$AK$504,MATCH(73,'Diario'!$AQ$5:$AQ$504,0)))</f>
        <v>#N/A</v>
      </c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  <c r="AA79" s="1" t="n"/>
      <c r="AB79" s="1" t="n"/>
      <c r="AC79" s="1" t="n"/>
      <c r="AD79" s="1" t="n">
        <v>74</v>
      </c>
      <c r="AE79" t="e">
        <f>IF(74&gt;$AB$5,NA(),INDEX('Diario'!$AK$5:$AK$504,MATCH(74,'Diario'!$AQ$5:$AQ$504,0)))</f>
        <v>#N/A</v>
      </c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  <c r="AA80" s="1" t="n"/>
      <c r="AB80" s="1" t="n"/>
      <c r="AC80" s="1" t="n"/>
      <c r="AD80" s="1" t="n">
        <v>75</v>
      </c>
      <c r="AE80" t="e">
        <f>IF(75&gt;$AB$5,NA(),INDEX('Diario'!$AK$5:$AK$504,MATCH(75,'Diario'!$AQ$5:$AQ$504,0)))</f>
        <v>#N/A</v>
      </c>
    </row>
    <row r="81">
      <c r="A81" s="1" t="n"/>
      <c r="B81" s="4" t="inlineStr">
        <is>
          <t>Por día (cierre)</t>
        </is>
      </c>
      <c r="C81" s="1" t="n"/>
      <c r="D81" s="1" t="n"/>
      <c r="E81" s="1" t="n"/>
      <c r="F81" s="1" t="n"/>
      <c r="G81" s="1" t="n"/>
      <c r="H81" s="4" t="inlineStr">
        <is>
          <t>Por sesión</t>
        </is>
      </c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  <c r="AA81" s="1" t="n"/>
      <c r="AB81" s="1" t="n"/>
      <c r="AC81" s="1" t="n"/>
      <c r="AD81" s="1" t="n">
        <v>76</v>
      </c>
      <c r="AE81" t="e">
        <f>IF(76&gt;$AB$5,NA(),INDEX('Diario'!$AK$5:$AK$504,MATCH(76,'Diario'!$AQ$5:$AQ$504,0)))</f>
        <v>#N/A</v>
      </c>
    </row>
    <row r="82">
      <c r="A82" s="1" t="n"/>
      <c r="B82" s="43" t="inlineStr">
        <is>
          <t>Nombre</t>
        </is>
      </c>
      <c r="C82" s="43" t="inlineStr">
        <is>
          <t>Operaciones</t>
        </is>
      </c>
      <c r="D82" s="43" t="inlineStr">
        <is>
          <t>% acierto</t>
        </is>
      </c>
      <c r="E82" s="43" t="inlineStr">
        <is>
          <t>P&amp;L neto</t>
        </is>
      </c>
      <c r="F82" s="43" t="inlineStr"/>
      <c r="G82" s="1" t="n"/>
      <c r="H82" s="43" t="inlineStr">
        <is>
          <t>Nombre</t>
        </is>
      </c>
      <c r="I82" s="43" t="inlineStr">
        <is>
          <t>Operaciones</t>
        </is>
      </c>
      <c r="J82" s="43" t="inlineStr">
        <is>
          <t>% acierto</t>
        </is>
      </c>
      <c r="K82" s="43" t="inlineStr">
        <is>
          <t>P&amp;L neto</t>
        </is>
      </c>
      <c r="L82" s="43" t="inlineStr">
        <is>
          <t>R medio</t>
        </is>
      </c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  <c r="AA82" s="1" t="n"/>
      <c r="AB82" s="1" t="n"/>
      <c r="AC82" s="1" t="n"/>
      <c r="AD82" s="1" t="n">
        <v>77</v>
      </c>
      <c r="AE82" t="e">
        <f>IF(77&gt;$AB$5,NA(),INDEX('Diario'!$AK$5:$AK$504,MATCH(77,'Diario'!$AQ$5:$AQ$504,0)))</f>
        <v>#N/A</v>
      </c>
    </row>
    <row r="83">
      <c r="A83" s="1" t="n"/>
      <c r="B83" s="5" t="inlineStr">
        <is>
          <t>Lunes</t>
        </is>
      </c>
      <c r="C83" s="45">
        <f>COUNTIFS('Diario'!$AS$5:$AS$504,1,'Diario'!$AI$5:$AI$504,1)</f>
        <v>6</v>
      </c>
      <c r="D83" s="46">
        <f>IF(C83=0,"",IFERROR(COUNTIFS('Diario'!$AS$5:$AS$504,1,'Diario'!$AI$5:$AI$504,1,'Diario'!$R$5:$R$504,"&gt;0")/(COUNTIFS('Diario'!$AS$5:$AS$504,1,'Diario'!$AI$5:$AI$504,1,'Diario'!$R$5:$R$504,"&gt;0")+COUNTIFS('Diario'!$AS$5:$AS$504,1,'Diario'!$AI$5:$AI$504,1,'Diario'!$R$5:$R$504,"&lt;0")),""))</f>
        <v>0.5</v>
      </c>
      <c r="E83" s="47">
        <f>SUMIFS('Diario'!$AJ$5:$AJ$504,'Diario'!$AS$5:$AS$504,1)</f>
        <v>91.7000000000111</v>
      </c>
      <c r="F83" s="1" t="n"/>
      <c r="G83" s="1" t="n"/>
      <c r="H83" s="5" t="str">
        <f>IF('Listas'!$F$6="","",'Listas'!$F$6)</f>
        <v>Asia</v>
      </c>
      <c r="I83" s="45">
        <f>IF(H83="","",COUNTIFS('Diario'!$W$5:$W$504,H83,'Diario'!$AI$5:$AI$504,1))</f>
        <v>5</v>
      </c>
      <c r="J83" s="46">
        <f>IF(OR(H83="",N(I83)=0),"",IFERROR(COUNTIFS('Diario'!$W$5:$W$504,H83,'Diario'!$AI$5:$AI$504,1,'Diario'!$R$5:$R$504,"&gt;0")/(COUNTIFS('Diario'!$W$5:$W$504,H83,'Diario'!$AI$5:$AI$504,1,'Diario'!$R$5:$R$504,"&gt;0")+COUNTIFS('Diario'!$W$5:$W$504,H83,'Diario'!$AI$5:$AI$504,1,'Diario'!$R$5:$R$504,"&lt;0")),""))</f>
        <v>1</v>
      </c>
      <c r="K83" s="47">
        <f>IF(H83="","",SUMIFS('Diario'!$AJ$5:$AJ$504,'Diario'!$W$5:$W$504,H83))</f>
        <v>936.4000000000046</v>
      </c>
      <c r="L83" s="49">
        <f>IF(OR(H83="",N(I83)=0),"",IFERROR(AVERAGEIFS('Diario'!$T$5:$T$504,'Diario'!$W$5:$W$504,H83,'Diario'!$AI$5:$AI$504,1),""))</f>
        <v>1.9344000000000179</v>
      </c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  <c r="AA83" s="1" t="n"/>
      <c r="AB83" s="1" t="n"/>
      <c r="AC83" s="1" t="n"/>
      <c r="AD83" s="1" t="n">
        <v>78</v>
      </c>
      <c r="AE83" t="e">
        <f>IF(78&gt;$AB$5,NA(),INDEX('Diario'!$AK$5:$AK$504,MATCH(78,'Diario'!$AQ$5:$AQ$504,0)))</f>
        <v>#N/A</v>
      </c>
    </row>
    <row r="84">
      <c r="A84" s="1" t="n"/>
      <c r="B84" s="5" t="inlineStr">
        <is>
          <t>Martes</t>
        </is>
      </c>
      <c r="C84" s="45">
        <f>COUNTIFS('Diario'!$AS$5:$AS$504,2,'Diario'!$AI$5:$AI$504,1)</f>
        <v>5</v>
      </c>
      <c r="D84" s="46">
        <f>IF(C84=0,"",IFERROR(COUNTIFS('Diario'!$AS$5:$AS$504,2,'Diario'!$AI$5:$AI$504,1,'Diario'!$R$5:$R$504,"&gt;0")/(COUNTIFS('Diario'!$AS$5:$AS$504,2,'Diario'!$AI$5:$AI$504,1,'Diario'!$R$5:$R$504,"&gt;0")+COUNTIFS('Diario'!$AS$5:$AS$504,2,'Diario'!$AI$5:$AI$504,1,'Diario'!$R$5:$R$504,"&lt;0")),""))</f>
        <v>0.4</v>
      </c>
      <c r="E84" s="47">
        <f>SUMIFS('Diario'!$AJ$5:$AJ$504,'Diario'!$AS$5:$AS$504,2)</f>
        <v>160.7140000000037</v>
      </c>
      <c r="F84" s="1" t="n"/>
      <c r="G84" s="1" t="n"/>
      <c r="H84" s="5" t="str">
        <f>IF('Listas'!$F$7="","",'Listas'!$F$7)</f>
        <v>Londres</v>
      </c>
      <c r="I84" s="45">
        <f>IF(H84="","",COUNTIFS('Diario'!$W$5:$W$504,H84,'Diario'!$AI$5:$AI$504,1))</f>
        <v>14</v>
      </c>
      <c r="J84" s="46">
        <f>IF(OR(H84="",N(I84)=0),"",IFERROR(COUNTIFS('Diario'!$W$5:$W$504,H84,'Diario'!$AI$5:$AI$504,1,'Diario'!$R$5:$R$504,"&gt;0")/(COUNTIFS('Diario'!$W$5:$W$504,H84,'Diario'!$AI$5:$AI$504,1,'Diario'!$R$5:$R$504,"&gt;0")+COUNTIFS('Diario'!$W$5:$W$504,H84,'Diario'!$AI$5:$AI$504,1,'Diario'!$R$5:$R$504,"&lt;0")),""))</f>
        <v>0.5</v>
      </c>
      <c r="K84" s="47">
        <f>IF(H84="","",SUMIFS('Diario'!$AJ$5:$AJ$504,'Diario'!$W$5:$W$504,H84))</f>
        <v>523.0475000000312</v>
      </c>
      <c r="L84" s="49">
        <f>IF(OR(H84="",N(I84)=0),"",IFERROR(AVERAGEIFS('Diario'!$T$5:$T$504,'Diario'!$W$5:$W$504,H84,'Diario'!$AI$5:$AI$504,1),""))</f>
        <v>0.36308007255377683</v>
      </c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  <c r="AA84" s="1" t="n"/>
      <c r="AB84" s="1" t="n"/>
      <c r="AC84" s="1" t="n"/>
      <c r="AD84" s="1" t="n">
        <v>79</v>
      </c>
      <c r="AE84" t="e">
        <f>IF(79&gt;$AB$5,NA(),INDEX('Diario'!$AK$5:$AK$504,MATCH(79,'Diario'!$AQ$5:$AQ$504,0)))</f>
        <v>#N/A</v>
      </c>
    </row>
    <row r="85">
      <c r="A85" s="1" t="n"/>
      <c r="B85" s="5" t="inlineStr">
        <is>
          <t>Miércoles</t>
        </is>
      </c>
      <c r="C85" s="45">
        <f>COUNTIFS('Diario'!$AS$5:$AS$504,3,'Diario'!$AI$5:$AI$504,1)</f>
        <v>6</v>
      </c>
      <c r="D85" s="46">
        <f>IF(C85=0,"",IFERROR(COUNTIFS('Diario'!$AS$5:$AS$504,3,'Diario'!$AI$5:$AI$504,1,'Diario'!$R$5:$R$504,"&gt;0")/(COUNTIFS('Diario'!$AS$5:$AS$504,3,'Diario'!$AI$5:$AI$504,1,'Diario'!$R$5:$R$504,"&gt;0")+COUNTIFS('Diario'!$AS$5:$AS$504,3,'Diario'!$AI$5:$AI$504,1,'Diario'!$R$5:$R$504,"&lt;0")),""))</f>
        <v>0.5</v>
      </c>
      <c r="E85" s="47">
        <f>SUMIFS('Diario'!$AJ$5:$AJ$504,'Diario'!$AS$5:$AS$504,3)</f>
        <v>453.5999999999956</v>
      </c>
      <c r="F85" s="1" t="n"/>
      <c r="G85" s="1" t="n"/>
      <c r="H85" s="5" t="str">
        <f>IF('Listas'!$F$8="","",'Listas'!$F$8)</f>
        <v>Nueva York</v>
      </c>
      <c r="I85" s="45">
        <f>IF(H85="","",COUNTIFS('Diario'!$W$5:$W$504,H85,'Diario'!$AI$5:$AI$504,1))</f>
        <v>4</v>
      </c>
      <c r="J85" s="46">
        <f>IF(OR(H85="",N(I85)=0),"",IFERROR(COUNTIFS('Diario'!$W$5:$W$504,H85,'Diario'!$AI$5:$AI$504,1,'Diario'!$R$5:$R$504,"&gt;0")/(COUNTIFS('Diario'!$W$5:$W$504,H85,'Diario'!$AI$5:$AI$504,1,'Diario'!$R$5:$R$504,"&gt;0")+COUNTIFS('Diario'!$W$5:$W$504,H85,'Diario'!$AI$5:$AI$504,1,'Diario'!$R$5:$R$504,"&lt;0")),""))</f>
        <v>0.5</v>
      </c>
      <c r="K85" s="47">
        <f>IF(H85="","",SUMIFS('Diario'!$AJ$5:$AJ$504,'Diario'!$W$5:$W$504,H85))</f>
        <v>148.0999999999979</v>
      </c>
      <c r="L85" s="49">
        <f>IF(OR(H85="",N(I85)=0),"",IFERROR(AVERAGEIFS('Diario'!$T$5:$T$504,'Diario'!$W$5:$W$504,H85,'Diario'!$AI$5:$AI$504,1),""))</f>
        <v>0.3702499999999946</v>
      </c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  <c r="AA85" s="1" t="n"/>
      <c r="AB85" s="1" t="n"/>
      <c r="AC85" s="1" t="n"/>
      <c r="AD85" s="1" t="n">
        <v>80</v>
      </c>
      <c r="AE85" t="e">
        <f>IF(80&gt;$AB$5,NA(),INDEX('Diario'!$AK$5:$AK$504,MATCH(80,'Diario'!$AQ$5:$AQ$504,0)))</f>
        <v>#N/A</v>
      </c>
    </row>
    <row r="86">
      <c r="A86" s="1" t="n"/>
      <c r="B86" s="5" t="inlineStr">
        <is>
          <t>Jueves</t>
        </is>
      </c>
      <c r="C86" s="45">
        <f>COUNTIFS('Diario'!$AS$5:$AS$504,4,'Diario'!$AI$5:$AI$504,1)</f>
        <v>7</v>
      </c>
      <c r="D86" s="46">
        <f>IF(C86=0,"",IFERROR(COUNTIFS('Diario'!$AS$5:$AS$504,4,'Diario'!$AI$5:$AI$504,1,'Diario'!$R$5:$R$504,"&gt;0")/(COUNTIFS('Diario'!$AS$5:$AS$504,4,'Diario'!$AI$5:$AI$504,1,'Diario'!$R$5:$R$504,"&gt;0")+COUNTIFS('Diario'!$AS$5:$AS$504,4,'Diario'!$AI$5:$AI$504,1,'Diario'!$R$5:$R$504,"&lt;0")),""))</f>
        <v>0.42857142857142855</v>
      </c>
      <c r="E86" s="47">
        <f>SUMIFS('Diario'!$AJ$5:$AJ$504,'Diario'!$AS$5:$AS$504,4)</f>
        <v>295.5475000000217</v>
      </c>
      <c r="F86" s="1" t="n"/>
      <c r="G86" s="1" t="n"/>
      <c r="H86" s="5" t="str">
        <f>IF('Listas'!$F$9="","",'Listas'!$F$9)</f>
        <v>Solape Londres–NY</v>
      </c>
      <c r="I86" s="45">
        <f>IF(H86="","",COUNTIFS('Diario'!$W$5:$W$504,H86,'Diario'!$AI$5:$AI$504,1))</f>
        <v>7</v>
      </c>
      <c r="J86" s="46">
        <f>IF(OR(H86="",N(I86)=0),"",IFERROR(COUNTIFS('Diario'!$W$5:$W$504,H86,'Diario'!$AI$5:$AI$504,1,'Diario'!$R$5:$R$504,"&gt;0")/(COUNTIFS('Diario'!$W$5:$W$504,H86,'Diario'!$AI$5:$AI$504,1,'Diario'!$R$5:$R$504,"&gt;0")+COUNTIFS('Diario'!$W$5:$W$504,H86,'Diario'!$AI$5:$AI$504,1,'Diario'!$R$5:$R$504,"&lt;0")),""))</f>
        <v>0.14285714285714285</v>
      </c>
      <c r="K86" s="47">
        <f>IF(H86="","",SUMIFS('Diario'!$AJ$5:$AJ$504,'Diario'!$W$5:$W$504,H86))</f>
        <v>-326.4860000000001</v>
      </c>
      <c r="L86" s="49">
        <f>IF(OR(H86="",N(I86)=0),"",IFERROR(AVERAGEIFS('Diario'!$T$5:$T$504,'Diario'!$W$5:$W$504,H86,'Diario'!$AI$5:$AI$504,1),""))</f>
        <v>-0.475411283463915</v>
      </c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  <c r="AA86" s="1" t="n"/>
      <c r="AB86" s="1" t="n"/>
      <c r="AC86" s="1" t="n"/>
      <c r="AD86" s="1" t="n">
        <v>81</v>
      </c>
      <c r="AE86" t="e">
        <f>IF(81&gt;$AB$5,NA(),INDEX('Diario'!$AK$5:$AK$504,MATCH(81,'Diario'!$AQ$5:$AQ$504,0)))</f>
        <v>#N/A</v>
      </c>
    </row>
    <row r="87">
      <c r="A87" s="1" t="n"/>
      <c r="B87" s="5" t="inlineStr">
        <is>
          <t>Viernes</t>
        </is>
      </c>
      <c r="C87" s="45">
        <f>COUNTIFS('Diario'!$AS$5:$AS$504,5,'Diario'!$AI$5:$AI$504,1)</f>
        <v>6</v>
      </c>
      <c r="D87" s="46">
        <f>IF(C87=0,"",IFERROR(COUNTIFS('Diario'!$AS$5:$AS$504,5,'Diario'!$AI$5:$AI$504,1,'Diario'!$R$5:$R$504,"&gt;0")/(COUNTIFS('Diario'!$AS$5:$AS$504,5,'Diario'!$AI$5:$AI$504,1,'Diario'!$R$5:$R$504,"&gt;0")+COUNTIFS('Diario'!$AS$5:$AS$504,5,'Diario'!$AI$5:$AI$504,1,'Diario'!$R$5:$R$504,"&lt;0")),""))</f>
        <v>0.6666666666666666</v>
      </c>
      <c r="E87" s="47">
        <f>SUMIFS('Diario'!$AJ$5:$AJ$504,'Diario'!$AS$5:$AS$504,5)</f>
        <v>279.50000000000136</v>
      </c>
      <c r="F87" s="1" t="n"/>
      <c r="G87" s="1" t="n"/>
      <c r="H87" s="5" t="str">
        <f>IF('Listas'!$F$10="","",'Listas'!$F$10)</f>
        <v/>
      </c>
      <c r="I87" s="45" t="str">
        <f>IF(H87="","",COUNTIFS('Diario'!$W$5:$W$504,H87,'Diario'!$AI$5:$AI$504,1))</f>
        <v/>
      </c>
      <c r="J87" s="46" t="str">
        <f>IF(OR(H87="",N(I87)=0),"",IFERROR(COUNTIFS('Diario'!$W$5:$W$504,H87,'Diario'!$AI$5:$AI$504,1,'Diario'!$R$5:$R$504,"&gt;0")/(COUNTIFS('Diario'!$W$5:$W$504,H87,'Diario'!$AI$5:$AI$504,1,'Diario'!$R$5:$R$504,"&gt;0")+COUNTIFS('Diario'!$W$5:$W$504,H87,'Diario'!$AI$5:$AI$504,1,'Diario'!$R$5:$R$504,"&lt;0")),""))</f>
        <v/>
      </c>
      <c r="K87" s="47" t="str">
        <f>IF(H87="","",SUMIFS('Diario'!$AJ$5:$AJ$504,'Diario'!$W$5:$W$504,H87))</f>
        <v/>
      </c>
      <c r="L87" s="49" t="str">
        <f>IF(OR(H87="",N(I87)=0),"",IFERROR(AVERAGEIFS('Diario'!$T$5:$T$504,'Diario'!$W$5:$W$504,H87,'Diario'!$AI$5:$AI$504,1),""))</f>
        <v/>
      </c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  <c r="AA87" s="1" t="n"/>
      <c r="AB87" s="1" t="n"/>
      <c r="AC87" s="1" t="n"/>
      <c r="AD87" s="1" t="n">
        <v>82</v>
      </c>
      <c r="AE87" t="e">
        <f>IF(82&gt;$AB$5,NA(),INDEX('Diario'!$AK$5:$AK$504,MATCH(82,'Diario'!$AQ$5:$AQ$504,0)))</f>
        <v>#N/A</v>
      </c>
    </row>
    <row r="88">
      <c r="A88" s="1" t="n"/>
      <c r="B88" s="5" t="inlineStr">
        <is>
          <t>Sábado</t>
        </is>
      </c>
      <c r="C88" s="45">
        <f>COUNTIFS('Diario'!$AS$5:$AS$504,6,'Diario'!$AI$5:$AI$504,1)</f>
        <v>0</v>
      </c>
      <c r="D88" s="46" t="str">
        <f>IF(C88=0,"",IFERROR(COUNTIFS('Diario'!$AS$5:$AS$504,6,'Diario'!$AI$5:$AI$504,1,'Diario'!$R$5:$R$504,"&gt;0")/(COUNTIFS('Diario'!$AS$5:$AS$504,6,'Diario'!$AI$5:$AI$504,1,'Diario'!$R$5:$R$504,"&gt;0")+COUNTIFS('Diario'!$AS$5:$AS$504,6,'Diario'!$AI$5:$AI$504,1,'Diario'!$R$5:$R$504,"&lt;0")),""))</f>
        <v/>
      </c>
      <c r="E88" s="47">
        <f>SUMIFS('Diario'!$AJ$5:$AJ$504,'Diario'!$AS$5:$AS$504,6)</f>
        <v>0</v>
      </c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  <c r="AA88" s="1" t="n"/>
      <c r="AB88" s="1" t="n"/>
      <c r="AC88" s="1" t="n"/>
      <c r="AD88" s="1" t="n">
        <v>83</v>
      </c>
      <c r="AE88" t="e">
        <f>IF(83&gt;$AB$5,NA(),INDEX('Diario'!$AK$5:$AK$504,MATCH(83,'Diario'!$AQ$5:$AQ$504,0)))</f>
        <v>#N/A</v>
      </c>
    </row>
    <row r="89">
      <c r="A89" s="1" t="n"/>
      <c r="B89" s="5" t="inlineStr">
        <is>
          <t>Domingo</t>
        </is>
      </c>
      <c r="C89" s="45">
        <f>COUNTIFS('Diario'!$AS$5:$AS$504,7,'Diario'!$AI$5:$AI$504,1)</f>
        <v>0</v>
      </c>
      <c r="D89" s="46" t="str">
        <f>IF(C89=0,"",IFERROR(COUNTIFS('Diario'!$AS$5:$AS$504,7,'Diario'!$AI$5:$AI$504,1,'Diario'!$R$5:$R$504,"&gt;0")/(COUNTIFS('Diario'!$AS$5:$AS$504,7,'Diario'!$AI$5:$AI$504,1,'Diario'!$R$5:$R$504,"&gt;0")+COUNTIFS('Diario'!$AS$5:$AS$504,7,'Diario'!$AI$5:$AI$504,1,'Diario'!$R$5:$R$504,"&lt;0")),""))</f>
        <v/>
      </c>
      <c r="E89" s="47">
        <f>SUMIFS('Diario'!$AJ$5:$AJ$504,'Diario'!$AS$5:$AS$504,7)</f>
        <v>0</v>
      </c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  <c r="AA89" s="1" t="n"/>
      <c r="AB89" s="1" t="n"/>
      <c r="AC89" s="1" t="n"/>
      <c r="AD89" s="1" t="n">
        <v>84</v>
      </c>
      <c r="AE89" t="e">
        <f>IF(84&gt;$AB$5,NA(),INDEX('Diario'!$AK$5:$AK$504,MATCH(84,'Diario'!$AQ$5:$AQ$504,0)))</f>
        <v>#N/A</v>
      </c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  <c r="AA90" s="1" t="n"/>
      <c r="AB90" s="1" t="n"/>
      <c r="AC90" s="1" t="n"/>
      <c r="AD90" s="1" t="n">
        <v>85</v>
      </c>
      <c r="AE90" t="e">
        <f>IF(85&gt;$AB$5,NA(),INDEX('Diario'!$AK$5:$AK$504,MATCH(85,'Diario'!$AQ$5:$AQ$504,0)))</f>
        <v>#N/A</v>
      </c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  <c r="AA91" s="1" t="n"/>
      <c r="AB91" s="1" t="n"/>
      <c r="AC91" s="1" t="n"/>
      <c r="AD91" s="1" t="n">
        <v>86</v>
      </c>
      <c r="AE91" t="e">
        <f>IF(86&gt;$AB$5,NA(),INDEX('Diario'!$AK$5:$AK$504,MATCH(86,'Diario'!$AQ$5:$AQ$504,0)))</f>
        <v>#N/A</v>
      </c>
    </row>
    <row r="92">
      <c r="A92" s="1" t="n"/>
      <c r="B92" s="4" t="inlineStr">
        <is>
          <t>Coste de los errores</t>
        </is>
      </c>
      <c r="C92" s="1" t="n"/>
      <c r="D92" s="1" t="n"/>
      <c r="E92" s="1" t="n"/>
      <c r="F92" s="1" t="n"/>
      <c r="G92" s="1" t="n"/>
      <c r="H92" s="4" t="inlineStr">
        <is>
          <t>Por emoción</t>
        </is>
      </c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  <c r="AA92" s="1" t="n"/>
      <c r="AB92" s="1" t="n"/>
      <c r="AC92" s="1" t="n"/>
      <c r="AD92" s="1" t="n">
        <v>87</v>
      </c>
      <c r="AE92" t="e">
        <f>IF(87&gt;$AB$5,NA(),INDEX('Diario'!$AK$5:$AK$504,MATCH(87,'Diario'!$AQ$5:$AQ$504,0)))</f>
        <v>#N/A</v>
      </c>
    </row>
    <row r="93">
      <c r="A93" s="1" t="n"/>
      <c r="B93" s="43" t="inlineStr">
        <is>
          <t>Nombre</t>
        </is>
      </c>
      <c r="C93" s="43" t="inlineStr">
        <is>
          <t>Operaciones</t>
        </is>
      </c>
      <c r="D93" s="43" t="inlineStr">
        <is>
          <t>% acierto</t>
        </is>
      </c>
      <c r="E93" s="43" t="inlineStr">
        <is>
          <t>P&amp;L neto</t>
        </is>
      </c>
      <c r="F93" s="43" t="inlineStr"/>
      <c r="G93" s="1" t="n"/>
      <c r="H93" s="43" t="inlineStr">
        <is>
          <t>Nombre</t>
        </is>
      </c>
      <c r="I93" s="43" t="inlineStr">
        <is>
          <t>Operaciones</t>
        </is>
      </c>
      <c r="J93" s="43" t="inlineStr">
        <is>
          <t>% acierto</t>
        </is>
      </c>
      <c r="K93" s="43" t="inlineStr">
        <is>
          <t>P&amp;L neto</t>
        </is>
      </c>
      <c r="L93" s="43" t="inlineStr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  <c r="AA93" s="1" t="n"/>
      <c r="AB93" s="1" t="n"/>
      <c r="AC93" s="1" t="n"/>
      <c r="AD93" s="1" t="n">
        <v>88</v>
      </c>
      <c r="AE93" t="e">
        <f>IF(88&gt;$AB$5,NA(),INDEX('Diario'!$AK$5:$AK$504,MATCH(88,'Diario'!$AQ$5:$AQ$504,0)))</f>
        <v>#N/A</v>
      </c>
    </row>
    <row r="94">
      <c r="A94" s="1" t="n"/>
      <c r="B94" s="5" t="str">
        <f>IF('Listas'!$D$6="","",'Listas'!$D$6)</f>
        <v>Ninguno</v>
      </c>
      <c r="C94" s="45">
        <f>IF(B94="","",COUNTIFS('Diario'!$X$5:$X$504,B94,'Diario'!$AI$5:$AI$504,1))</f>
        <v>24</v>
      </c>
      <c r="D94" s="46">
        <f>IF(OR(B94="",N(C94)=0),"",IFERROR(COUNTIFS('Diario'!$X$5:$X$504,B94,'Diario'!$AI$5:$AI$504,1,'Diario'!$R$5:$R$504,"&gt;0")/(COUNTIFS('Diario'!$X$5:$X$504,B94,'Diario'!$AI$5:$AI$504,1,'Diario'!$R$5:$R$504,"&gt;0")+COUNTIFS('Diario'!$X$5:$X$504,B94,'Diario'!$AI$5:$AI$504,1,'Diario'!$R$5:$R$504,"&lt;0")),""))</f>
        <v>0.625</v>
      </c>
      <c r="E94" s="47">
        <f>IF(B94="","",SUMIFS('Diario'!$AJ$5:$AJ$504,'Diario'!$X$5:$X$504,B94))</f>
        <v>1812.9615000000229</v>
      </c>
      <c r="F94" s="49" t="n"/>
      <c r="G94" s="1" t="n"/>
      <c r="H94" s="5" t="str">
        <f>IF('Listas'!$H$6="","",'Listas'!$H$6)</f>
        <v>Tranquilo</v>
      </c>
      <c r="I94" s="45">
        <f>IF(H94="","",COUNTIFS('Diario'!$Y$5:$Y$504,H94,'Diario'!$AI$5:$AI$504,1))</f>
        <v>16</v>
      </c>
      <c r="J94" s="46">
        <f>IF(OR(H94="",N(I94)=0),"",IFERROR(COUNTIFS('Diario'!$Y$5:$Y$504,H94,'Diario'!$AI$5:$AI$504,1,'Diario'!$R$5:$R$504,"&gt;0")/(COUNTIFS('Diario'!$Y$5:$Y$504,H94,'Diario'!$AI$5:$AI$504,1,'Diario'!$R$5:$R$504,"&gt;0")+COUNTIFS('Diario'!$Y$5:$Y$504,H94,'Diario'!$AI$5:$AI$504,1,'Diario'!$R$5:$R$504,"&lt;0")),""))</f>
        <v>0.9375</v>
      </c>
      <c r="K94" s="47">
        <f>IF(H94="","",SUMIFS('Diario'!$AJ$5:$AJ$504,'Diario'!$Y$5:$Y$504,H94))</f>
        <v>2559.7000000000135</v>
      </c>
      <c r="L94" s="49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  <c r="AA94" s="1" t="n"/>
      <c r="AB94" s="1" t="n"/>
      <c r="AC94" s="1" t="n"/>
      <c r="AD94" s="1" t="n">
        <v>89</v>
      </c>
      <c r="AE94" t="e">
        <f>IF(89&gt;$AB$5,NA(),INDEX('Diario'!$AK$5:$AK$504,MATCH(89,'Diario'!$AQ$5:$AQ$504,0)))</f>
        <v>#N/A</v>
      </c>
    </row>
    <row r="95">
      <c r="A95" s="1" t="n"/>
      <c r="B95" s="5" t="str">
        <f>IF('Listas'!$D$7="","",'Listas'!$D$7)</f>
        <v>Moví el stop</v>
      </c>
      <c r="C95" s="45">
        <f>IF(B95="","",COUNTIFS('Diario'!$X$5:$X$504,B95,'Diario'!$AI$5:$AI$504,1))</f>
        <v>3</v>
      </c>
      <c r="D95" s="46">
        <f>IF(OR(B95="",N(C95)=0),"",IFERROR(COUNTIFS('Diario'!$X$5:$X$504,B95,'Diario'!$AI$5:$AI$504,1,'Diario'!$R$5:$R$504,"&gt;0")/(COUNTIFS('Diario'!$X$5:$X$504,B95,'Diario'!$AI$5:$AI$504,1,'Diario'!$R$5:$R$504,"&gt;0")+COUNTIFS('Diario'!$X$5:$X$504,B95,'Diario'!$AI$5:$AI$504,1,'Diario'!$R$5:$R$504,"&lt;0")),""))</f>
        <v>0</v>
      </c>
      <c r="E95" s="47">
        <f>IF(B95="","",SUMIFS('Diario'!$AJ$5:$AJ$504,'Diario'!$X$5:$X$504,B95))</f>
        <v>-296.2999999999869</v>
      </c>
      <c r="F95" s="49" t="n"/>
      <c r="G95" s="1" t="n"/>
      <c r="H95" s="5" t="str">
        <f>IF('Listas'!$H$7="","",'Listas'!$H$7)</f>
        <v>Seguro</v>
      </c>
      <c r="I95" s="45">
        <f>IF(H95="","",COUNTIFS('Diario'!$Y$5:$Y$504,H95,'Diario'!$AI$5:$AI$504,1))</f>
        <v>0</v>
      </c>
      <c r="J95" s="46" t="str">
        <f>IF(OR(H95="",N(I95)=0),"",IFERROR(COUNTIFS('Diario'!$Y$5:$Y$504,H95,'Diario'!$AI$5:$AI$504,1,'Diario'!$R$5:$R$504,"&gt;0")/(COUNTIFS('Diario'!$Y$5:$Y$504,H95,'Diario'!$AI$5:$AI$504,1,'Diario'!$R$5:$R$504,"&gt;0")+COUNTIFS('Diario'!$Y$5:$Y$504,H95,'Diario'!$AI$5:$AI$504,1,'Diario'!$R$5:$R$504,"&lt;0")),""))</f>
        <v/>
      </c>
      <c r="K95" s="47">
        <f>IF(H95="","",SUMIFS('Diario'!$AJ$5:$AJ$504,'Diario'!$Y$5:$Y$504,H95))</f>
        <v>0</v>
      </c>
      <c r="L95" s="49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  <c r="AA95" s="1" t="n"/>
      <c r="AB95" s="1" t="n"/>
      <c r="AC95" s="1" t="n"/>
      <c r="AD95" s="1" t="n">
        <v>90</v>
      </c>
      <c r="AE95" t="e">
        <f>IF(90&gt;$AB$5,NA(),INDEX('Diario'!$AK$5:$AK$504,MATCH(90,'Diario'!$AQ$5:$AQ$504,0)))</f>
        <v>#N/A</v>
      </c>
    </row>
    <row r="96">
      <c r="A96" s="1" t="n"/>
      <c r="B96" s="5" t="str">
        <f>IF('Listas'!$D$8="","",'Listas'!$D$8)</f>
        <v>Salida temprana</v>
      </c>
      <c r="C96" s="45">
        <f>IF(B96="","",COUNTIFS('Diario'!$X$5:$X$504,B96,'Diario'!$AI$5:$AI$504,1))</f>
        <v>1</v>
      </c>
      <c r="D96" s="46">
        <f>IF(OR(B96="",N(C96)=0),"",IFERROR(COUNTIFS('Diario'!$X$5:$X$504,B96,'Diario'!$AI$5:$AI$504,1,'Diario'!$R$5:$R$504,"&gt;0")/(COUNTIFS('Diario'!$X$5:$X$504,B96,'Diario'!$AI$5:$AI$504,1,'Diario'!$R$5:$R$504,"&gt;0")+COUNTIFS('Diario'!$X$5:$X$504,B96,'Diario'!$AI$5:$AI$504,1,'Diario'!$R$5:$R$504,"&lt;0")),""))</f>
        <v>0</v>
      </c>
      <c r="E96" s="47">
        <f>IF(B96="","",SUMIFS('Diario'!$AJ$5:$AJ$504,'Diario'!$X$5:$X$504,B96))</f>
        <v>-102.79999999999788</v>
      </c>
      <c r="F96" s="49" t="n"/>
      <c r="G96" s="1" t="n"/>
      <c r="H96" s="5" t="str">
        <f>IF('Listas'!$H$8="","",'Listas'!$H$8)</f>
        <v>Dudoso</v>
      </c>
      <c r="I96" s="45">
        <f>IF(H96="","",COUNTIFS('Diario'!$Y$5:$Y$504,H96,'Diario'!$AI$5:$AI$504,1))</f>
        <v>3</v>
      </c>
      <c r="J96" s="46">
        <f>IF(OR(H96="",N(I96)=0),"",IFERROR(COUNTIFS('Diario'!$Y$5:$Y$504,H96,'Diario'!$AI$5:$AI$504,1,'Diario'!$R$5:$R$504,"&gt;0")/(COUNTIFS('Diario'!$Y$5:$Y$504,H96,'Diario'!$AI$5:$AI$504,1,'Diario'!$R$5:$R$504,"&gt;0")+COUNTIFS('Diario'!$Y$5:$Y$504,H96,'Diario'!$AI$5:$AI$504,1,'Diario'!$R$5:$R$504,"&lt;0")),""))</f>
        <v>0</v>
      </c>
      <c r="K96" s="47">
        <f>IF(H96="","",SUMIFS('Diario'!$AJ$5:$AJ$504,'Diario'!$Y$5:$Y$504,H96))</f>
        <v>-295.59999999999576</v>
      </c>
      <c r="L96" s="49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  <c r="AA96" s="1" t="n"/>
      <c r="AB96" s="1" t="n"/>
      <c r="AC96" s="1" t="n"/>
      <c r="AD96" s="1" t="n">
        <v>91</v>
      </c>
      <c r="AE96" t="e">
        <f>IF(91&gt;$AB$5,NA(),INDEX('Diario'!$AK$5:$AK$504,MATCH(91,'Diario'!$AQ$5:$AQ$504,0)))</f>
        <v>#N/A</v>
      </c>
    </row>
    <row r="97">
      <c r="A97" s="1" t="n"/>
      <c r="B97" s="5" t="str">
        <f>IF('Listas'!$D$9="","",'Listas'!$D$9)</f>
        <v>Lotaje excesivo</v>
      </c>
      <c r="C97" s="45">
        <f>IF(B97="","",COUNTIFS('Diario'!$X$5:$X$504,B97,'Diario'!$AI$5:$AI$504,1))</f>
        <v>1</v>
      </c>
      <c r="D97" s="46">
        <f>IF(OR(B97="",N(C97)=0),"",IFERROR(COUNTIFS('Diario'!$X$5:$X$504,B97,'Diario'!$AI$5:$AI$504,1,'Diario'!$R$5:$R$504,"&gt;0")/(COUNTIFS('Diario'!$X$5:$X$504,B97,'Diario'!$AI$5:$AI$504,1,'Diario'!$R$5:$R$504,"&gt;0")+COUNTIFS('Diario'!$X$5:$X$504,B97,'Diario'!$AI$5:$AI$504,1,'Diario'!$R$5:$R$504,"&lt;0")),""))</f>
        <v>0</v>
      </c>
      <c r="E97" s="47">
        <f>IF(B97="","",SUMIFS('Diario'!$AJ$5:$AJ$504,'Diario'!$X$5:$X$504,B97))</f>
        <v>-90</v>
      </c>
      <c r="F97" s="49" t="n"/>
      <c r="G97" s="1" t="n"/>
      <c r="H97" s="5" t="str">
        <f>IF('Listas'!$H$9="","",'Listas'!$H$9)</f>
        <v>FOMO</v>
      </c>
      <c r="I97" s="45">
        <f>IF(H97="","",COUNTIFS('Diario'!$Y$5:$Y$504,H97,'Diario'!$AI$5:$AI$504,1))</f>
        <v>6</v>
      </c>
      <c r="J97" s="46">
        <f>IF(OR(H97="",N(I97)=0),"",IFERROR(COUNTIFS('Diario'!$Y$5:$Y$504,H97,'Diario'!$AI$5:$AI$504,1,'Diario'!$R$5:$R$504,"&gt;0")/(COUNTIFS('Diario'!$Y$5:$Y$504,H97,'Diario'!$AI$5:$AI$504,1,'Diario'!$R$5:$R$504,"&gt;0")+COUNTIFS('Diario'!$Y$5:$Y$504,H97,'Diario'!$AI$5:$AI$504,1,'Diario'!$R$5:$R$504,"&lt;0")),""))</f>
        <v>0</v>
      </c>
      <c r="K97" s="47">
        <f>IF(H97="","",SUMIFS('Diario'!$AJ$5:$AJ$504,'Diario'!$Y$5:$Y$504,H97))</f>
        <v>-605.785999999998</v>
      </c>
      <c r="L97" s="49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  <c r="AA97" s="1" t="n"/>
      <c r="AB97" s="1" t="n"/>
      <c r="AC97" s="1" t="n"/>
      <c r="AD97" s="1" t="n">
        <v>92</v>
      </c>
      <c r="AE97" t="e">
        <f>IF(92&gt;$AB$5,NA(),INDEX('Diario'!$AK$5:$AK$504,MATCH(92,'Diario'!$AQ$5:$AQ$504,0)))</f>
        <v>#N/A</v>
      </c>
    </row>
    <row r="98">
      <c r="A98" s="1" t="n"/>
      <c r="B98" s="5" t="str">
        <f>IF('Listas'!$D$10="","",'Listas'!$D$10)</f>
        <v>Entrada por FOMO</v>
      </c>
      <c r="C98" s="45">
        <f>IF(B98="","",COUNTIFS('Diario'!$X$5:$X$504,B98,'Diario'!$AI$5:$AI$504,1))</f>
        <v>1</v>
      </c>
      <c r="D98" s="46">
        <f>IF(OR(B98="",N(C98)=0),"",IFERROR(COUNTIFS('Diario'!$X$5:$X$504,B98,'Diario'!$AI$5:$AI$504,1,'Diario'!$R$5:$R$504,"&gt;0")/(COUNTIFS('Diario'!$X$5:$X$504,B98,'Diario'!$AI$5:$AI$504,1,'Diario'!$R$5:$R$504,"&gt;0")+COUNTIFS('Diario'!$X$5:$X$504,B98,'Diario'!$AI$5:$AI$504,1,'Diario'!$R$5:$R$504,"&lt;0")),""))</f>
        <v>0</v>
      </c>
      <c r="E98" s="47">
        <f>IF(B98="","",SUMIFS('Diario'!$AJ$5:$AJ$504,'Diario'!$X$5:$X$504,B98))</f>
        <v>-42.800000000004474</v>
      </c>
      <c r="F98" s="49" t="n"/>
      <c r="G98" s="1" t="n"/>
      <c r="H98" s="5" t="str">
        <f>IF('Listas'!$H$10="","",'Listas'!$H$10)</f>
        <v>Miedo</v>
      </c>
      <c r="I98" s="45">
        <f>IF(H98="","",COUNTIFS('Diario'!$Y$5:$Y$504,H98,'Diario'!$AI$5:$AI$504,1))</f>
        <v>3</v>
      </c>
      <c r="J98" s="46">
        <f>IF(OR(H98="",N(I98)=0),"",IFERROR(COUNTIFS('Diario'!$Y$5:$Y$504,H98,'Diario'!$AI$5:$AI$504,1,'Diario'!$R$5:$R$504,"&gt;0")/(COUNTIFS('Diario'!$Y$5:$Y$504,H98,'Diario'!$AI$5:$AI$504,1,'Diario'!$R$5:$R$504,"&gt;0")+COUNTIFS('Diario'!$Y$5:$Y$504,H98,'Diario'!$AI$5:$AI$504,1,'Diario'!$R$5:$R$504,"&lt;0")),""))</f>
        <v>0</v>
      </c>
      <c r="K98" s="47">
        <f>IF(H98="","",SUMIFS('Diario'!$AJ$5:$AJ$504,'Diario'!$Y$5:$Y$504,H98))</f>
        <v>-236.29999999999345</v>
      </c>
      <c r="L98" s="49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  <c r="AA98" s="1" t="n"/>
      <c r="AB98" s="1" t="n"/>
      <c r="AC98" s="1" t="n"/>
      <c r="AD98" s="1" t="n">
        <v>93</v>
      </c>
      <c r="AE98" t="e">
        <f>IF(93&gt;$AB$5,NA(),INDEX('Diario'!$AK$5:$AK$504,MATCH(93,'Diario'!$AQ$5:$AQ$504,0)))</f>
        <v>#N/A</v>
      </c>
    </row>
    <row r="99">
      <c r="A99" s="1" t="n"/>
      <c r="B99" s="5" t="str">
        <f>IF('Listas'!$D$11="","",'Listas'!$D$11)</f>
        <v>Sin plan</v>
      </c>
      <c r="C99" s="45">
        <f>IF(B99="","",COUNTIFS('Diario'!$X$5:$X$504,B99,'Diario'!$AI$5:$AI$504,1))</f>
        <v>0</v>
      </c>
      <c r="D99" s="46" t="str">
        <f>IF(OR(B99="",N(C99)=0),"",IFERROR(COUNTIFS('Diario'!$X$5:$X$504,B99,'Diario'!$AI$5:$AI$504,1,'Diario'!$R$5:$R$504,"&gt;0")/(COUNTIFS('Diario'!$X$5:$X$504,B99,'Diario'!$AI$5:$AI$504,1,'Diario'!$R$5:$R$504,"&gt;0")+COUNTIFS('Diario'!$X$5:$X$504,B99,'Diario'!$AI$5:$AI$504,1,'Diario'!$R$5:$R$504,"&lt;0")),""))</f>
        <v/>
      </c>
      <c r="E99" s="47">
        <f>IF(B99="","",SUMIFS('Diario'!$AJ$5:$AJ$504,'Diario'!$X$5:$X$504,B99))</f>
        <v>0</v>
      </c>
      <c r="F99" s="49" t="n"/>
      <c r="G99" s="1" t="n"/>
      <c r="H99" s="5" t="str">
        <f>IF('Listas'!$H$11="","",'Listas'!$H$11)</f>
        <v>Frustrado</v>
      </c>
      <c r="I99" s="45">
        <f>IF(H99="","",COUNTIFS('Diario'!$Y$5:$Y$504,H99,'Diario'!$AI$5:$AI$504,1))</f>
        <v>2</v>
      </c>
      <c r="J99" s="46">
        <f>IF(OR(H99="",N(I99)=0),"",IFERROR(COUNTIFS('Diario'!$Y$5:$Y$504,H99,'Diario'!$AI$5:$AI$504,1,'Diario'!$R$5:$R$504,"&gt;0")/(COUNTIFS('Diario'!$Y$5:$Y$504,H99,'Diario'!$AI$5:$AI$504,1,'Diario'!$R$5:$R$504,"&gt;0")+COUNTIFS('Diario'!$Y$5:$Y$504,H99,'Diario'!$AI$5:$AI$504,1,'Diario'!$R$5:$R$504,"&lt;0")),""))</f>
        <v>0</v>
      </c>
      <c r="K99" s="47">
        <f>IF(H99="","",SUMIFS('Diario'!$AJ$5:$AJ$504,'Diario'!$Y$5:$Y$504,H99))</f>
        <v>-140.95249999999282</v>
      </c>
      <c r="L99" s="49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  <c r="AA99" s="1" t="n"/>
      <c r="AB99" s="1" t="n"/>
      <c r="AC99" s="1" t="n"/>
      <c r="AD99" s="1" t="n">
        <v>94</v>
      </c>
      <c r="AE99" t="e">
        <f>IF(94&gt;$AB$5,NA(),INDEX('Diario'!$AK$5:$AK$504,MATCH(94,'Diario'!$AQ$5:$AQ$504,0)))</f>
        <v>#N/A</v>
      </c>
    </row>
    <row r="100">
      <c r="A100" s="1" t="n"/>
      <c r="B100" s="5" t="str">
        <f>IF('Listas'!$D$12="","",'Listas'!$D$12)</f>
        <v>Operación de venganza</v>
      </c>
      <c r="C100" s="45">
        <f>IF(B100="","",COUNTIFS('Diario'!$X$5:$X$504,B100,'Diario'!$AI$5:$AI$504,1))</f>
        <v>0</v>
      </c>
      <c r="D100" s="46" t="str">
        <f>IF(OR(B100="",N(C100)=0),"",IFERROR(COUNTIFS('Diario'!$X$5:$X$504,B100,'Diario'!$AI$5:$AI$504,1,'Diario'!$R$5:$R$504,"&gt;0")/(COUNTIFS('Diario'!$X$5:$X$504,B100,'Diario'!$AI$5:$AI$504,1,'Diario'!$R$5:$R$504,"&gt;0")+COUNTIFS('Diario'!$X$5:$X$504,B100,'Diario'!$AI$5:$AI$504,1,'Diario'!$R$5:$R$504,"&lt;0")),""))</f>
        <v/>
      </c>
      <c r="E100" s="47">
        <f>IF(B100="","",SUMIFS('Diario'!$AJ$5:$AJ$504,'Diario'!$X$5:$X$504,B100))</f>
        <v>0</v>
      </c>
      <c r="F100" s="49" t="n"/>
      <c r="G100" s="1" t="n"/>
      <c r="H100" s="5" t="str">
        <f>IF('Listas'!$H$12="","",'Listas'!$H$12)</f>
        <v/>
      </c>
      <c r="I100" s="45" t="str">
        <f>IF(H100="","",COUNTIFS('Diario'!$Y$5:$Y$504,H100,'Diario'!$AI$5:$AI$504,1))</f>
        <v/>
      </c>
      <c r="J100" s="46" t="str">
        <f>IF(OR(H100="",N(I100)=0),"",IFERROR(COUNTIFS('Diario'!$Y$5:$Y$504,H100,'Diario'!$AI$5:$AI$504,1,'Diario'!$R$5:$R$504,"&gt;0")/(COUNTIFS('Diario'!$Y$5:$Y$504,H100,'Diario'!$AI$5:$AI$504,1,'Diario'!$R$5:$R$504,"&gt;0")+COUNTIFS('Diario'!$Y$5:$Y$504,H100,'Diario'!$AI$5:$AI$504,1,'Diario'!$R$5:$R$504,"&lt;0")),""))</f>
        <v/>
      </c>
      <c r="K100" s="47" t="str">
        <f>IF(H100="","",SUMIFS('Diario'!$AJ$5:$AJ$504,'Diario'!$Y$5:$Y$504,H100))</f>
        <v/>
      </c>
      <c r="L100" s="49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  <c r="AA100" s="1" t="n"/>
      <c r="AB100" s="1" t="n"/>
      <c r="AC100" s="1" t="n"/>
      <c r="AD100" s="1" t="n">
        <v>95</v>
      </c>
      <c r="AE100" t="e">
        <f>IF(95&gt;$AB$5,NA(),INDEX('Diario'!$AK$5:$AK$504,MATCH(95,'Diario'!$AQ$5:$AQ$504,0)))</f>
        <v>#N/A</v>
      </c>
    </row>
    <row r="101">
      <c r="A101" s="1" t="n"/>
      <c r="B101" s="5" t="str">
        <f>IF('Listas'!$D$13="","",'Listas'!$D$13)</f>
        <v>Entrada tardía</v>
      </c>
      <c r="C101" s="45">
        <f>IF(B101="","",COUNTIFS('Diario'!$X$5:$X$504,B101,'Diario'!$AI$5:$AI$504,1))</f>
        <v>0</v>
      </c>
      <c r="D101" s="46" t="str">
        <f>IF(OR(B101="",N(C101)=0),"",IFERROR(COUNTIFS('Diario'!$X$5:$X$504,B101,'Diario'!$AI$5:$AI$504,1,'Diario'!$R$5:$R$504,"&gt;0")/(COUNTIFS('Diario'!$X$5:$X$504,B101,'Diario'!$AI$5:$AI$504,1,'Diario'!$R$5:$R$504,"&gt;0")+COUNTIFS('Diario'!$X$5:$X$504,B101,'Diario'!$AI$5:$AI$504,1,'Diario'!$R$5:$R$504,"&lt;0")),""))</f>
        <v/>
      </c>
      <c r="E101" s="47">
        <f>IF(B101="","",SUMIFS('Diario'!$AJ$5:$AJ$504,'Diario'!$X$5:$X$504,B101))</f>
        <v>0</v>
      </c>
      <c r="F101" s="49" t="n"/>
      <c r="G101" s="1" t="n"/>
      <c r="H101" s="5" t="str">
        <f>IF('Listas'!$H$13="","",'Listas'!$H$13)</f>
        <v/>
      </c>
      <c r="I101" s="45" t="str">
        <f>IF(H101="","",COUNTIFS('Diario'!$Y$5:$Y$504,H101,'Diario'!$AI$5:$AI$504,1))</f>
        <v/>
      </c>
      <c r="J101" s="46" t="str">
        <f>IF(OR(H101="",N(I101)=0),"",IFERROR(COUNTIFS('Diario'!$Y$5:$Y$504,H101,'Diario'!$AI$5:$AI$504,1,'Diario'!$R$5:$R$504,"&gt;0")/(COUNTIFS('Diario'!$Y$5:$Y$504,H101,'Diario'!$AI$5:$AI$504,1,'Diario'!$R$5:$R$504,"&gt;0")+COUNTIFS('Diario'!$Y$5:$Y$504,H101,'Diario'!$AI$5:$AI$504,1,'Diario'!$R$5:$R$504,"&lt;0")),""))</f>
        <v/>
      </c>
      <c r="K101" s="47" t="str">
        <f>IF(H101="","",SUMIFS('Diario'!$AJ$5:$AJ$504,'Diario'!$Y$5:$Y$504,H101))</f>
        <v/>
      </c>
      <c r="L101" s="49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  <c r="AA101" s="1" t="n"/>
      <c r="AB101" s="1" t="n"/>
      <c r="AC101" s="1" t="n"/>
      <c r="AD101" s="1" t="n">
        <v>96</v>
      </c>
      <c r="AE101" t="e">
        <f>IF(96&gt;$AB$5,NA(),INDEX('Diario'!$AK$5:$AK$504,MATCH(96,'Diario'!$AQ$5:$AQ$504,0)))</f>
        <v>#N/A</v>
      </c>
    </row>
    <row r="102">
      <c r="A102" s="1" t="n"/>
      <c r="B102" s="5" t="str">
        <f>IF('Listas'!$D$14="","",'Listas'!$D$14)</f>
        <v/>
      </c>
      <c r="C102" s="45" t="str">
        <f>IF(B102="","",COUNTIFS('Diario'!$X$5:$X$504,B102,'Diario'!$AI$5:$AI$504,1))</f>
        <v/>
      </c>
      <c r="D102" s="46" t="str">
        <f>IF(OR(B102="",N(C102)=0),"",IFERROR(COUNTIFS('Diario'!$X$5:$X$504,B102,'Diario'!$AI$5:$AI$504,1,'Diario'!$R$5:$R$504,"&gt;0")/(COUNTIFS('Diario'!$X$5:$X$504,B102,'Diario'!$AI$5:$AI$504,1,'Diario'!$R$5:$R$504,"&gt;0")+COUNTIFS('Diario'!$X$5:$X$504,B102,'Diario'!$AI$5:$AI$504,1,'Diario'!$R$5:$R$504,"&lt;0")),""))</f>
        <v/>
      </c>
      <c r="E102" s="47" t="str">
        <f>IF(B102="","",SUMIFS('Diario'!$AJ$5:$AJ$504,'Diario'!$X$5:$X$504,B102))</f>
        <v/>
      </c>
      <c r="F102" s="49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  <c r="AA102" s="1" t="n"/>
      <c r="AB102" s="1" t="n"/>
      <c r="AC102" s="1" t="n"/>
      <c r="AD102" s="1" t="n">
        <v>97</v>
      </c>
      <c r="AE102" t="e">
        <f>IF(97&gt;$AB$5,NA(),INDEX('Diario'!$AK$5:$AK$504,MATCH(97,'Diario'!$AQ$5:$AQ$504,0)))</f>
        <v>#N/A</v>
      </c>
    </row>
    <row r="103">
      <c r="A103" s="1" t="n"/>
      <c r="B103" s="5" t="str">
        <f>IF('Listas'!$D$15="","",'Listas'!$D$15)</f>
        <v/>
      </c>
      <c r="C103" s="45" t="str">
        <f>IF(B103="","",COUNTIFS('Diario'!$X$5:$X$504,B103,'Diario'!$AI$5:$AI$504,1))</f>
        <v/>
      </c>
      <c r="D103" s="46" t="str">
        <f>IF(OR(B103="",N(C103)=0),"",IFERROR(COUNTIFS('Diario'!$X$5:$X$504,B103,'Diario'!$AI$5:$AI$504,1,'Diario'!$R$5:$R$504,"&gt;0")/(COUNTIFS('Diario'!$X$5:$X$504,B103,'Diario'!$AI$5:$AI$504,1,'Diario'!$R$5:$R$504,"&gt;0")+COUNTIFS('Diario'!$X$5:$X$504,B103,'Diario'!$AI$5:$AI$504,1,'Diario'!$R$5:$R$504,"&lt;0")),""))</f>
        <v/>
      </c>
      <c r="E103" s="47" t="str">
        <f>IF(B103="","",SUMIFS('Diario'!$AJ$5:$AJ$504,'Diario'!$X$5:$X$504,B103))</f>
        <v/>
      </c>
      <c r="F103" s="49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  <c r="AA103" s="1" t="n"/>
      <c r="AB103" s="1" t="n"/>
      <c r="AC103" s="1" t="n"/>
      <c r="AD103" s="1" t="n">
        <v>98</v>
      </c>
      <c r="AE103" t="e">
        <f>IF(98&gt;$AB$5,NA(),INDEX('Diario'!$AK$5:$AK$504,MATCH(98,'Diario'!$AQ$5:$AQ$504,0)))</f>
        <v>#N/A</v>
      </c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  <c r="AA104" s="1" t="n"/>
      <c r="AB104" s="1" t="n"/>
      <c r="AC104" s="1" t="n"/>
      <c r="AD104" s="1" t="n">
        <v>99</v>
      </c>
      <c r="AE104" t="e">
        <f>IF(99&gt;$AB$5,NA(),INDEX('Diario'!$AK$5:$AK$504,MATCH(99,'Diario'!$AQ$5:$AQ$504,0)))</f>
        <v>#N/A</v>
      </c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  <c r="AA105" s="1" t="n"/>
      <c r="AB105" s="1" t="n"/>
      <c r="AC105" s="1" t="n"/>
      <c r="AD105" s="1" t="n">
        <v>100</v>
      </c>
      <c r="AE105" t="e">
        <f>IF(100&gt;$AB$5,NA(),INDEX('Diario'!$AK$5:$AK$504,MATCH(100,'Diario'!$AQ$5:$AQ$504,0)))</f>
        <v>#N/A</v>
      </c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  <c r="AA106" s="1" t="n"/>
      <c r="AB106" s="1" t="n"/>
      <c r="AC106" s="1" t="n"/>
      <c r="AD106" s="1" t="n">
        <v>101</v>
      </c>
      <c r="AE106" t="e">
        <f>IF(101&gt;$AB$5,NA(),INDEX('Diario'!$AK$5:$AK$504,MATCH(101,'Diario'!$AQ$5:$AQ$504,0)))</f>
        <v>#N/A</v>
      </c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  <c r="AA107" s="1" t="n"/>
      <c r="AB107" s="1" t="n"/>
      <c r="AC107" s="1" t="n"/>
      <c r="AD107" s="1" t="n">
        <v>102</v>
      </c>
      <c r="AE107" t="e">
        <f>IF(102&gt;$AB$5,NA(),INDEX('Diario'!$AK$5:$AK$504,MATCH(102,'Diario'!$AQ$5:$AQ$504,0)))</f>
        <v>#N/A</v>
      </c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  <c r="AA108" s="1" t="n"/>
      <c r="AB108" s="1" t="n"/>
      <c r="AC108" s="1" t="n"/>
      <c r="AD108" s="1" t="n">
        <v>103</v>
      </c>
      <c r="AE108" t="e">
        <f>IF(103&gt;$AB$5,NA(),INDEX('Diario'!$AK$5:$AK$504,MATCH(103,'Diario'!$AQ$5:$AQ$504,0)))</f>
        <v>#N/A</v>
      </c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  <c r="AA109" s="1" t="n"/>
      <c r="AB109" s="1" t="n"/>
      <c r="AC109" s="1" t="n"/>
      <c r="AD109" s="1" t="n">
        <v>104</v>
      </c>
      <c r="AE109" t="e">
        <f>IF(104&gt;$AB$5,NA(),INDEX('Diario'!$AK$5:$AK$504,MATCH(104,'Diario'!$AQ$5:$AQ$504,0)))</f>
        <v>#N/A</v>
      </c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  <c r="AA110" s="1" t="n"/>
      <c r="AB110" s="1" t="n"/>
      <c r="AC110" s="1" t="n"/>
      <c r="AD110" s="1" t="n">
        <v>105</v>
      </c>
      <c r="AE110" t="e">
        <f>IF(105&gt;$AB$5,NA(),INDEX('Diario'!$AK$5:$AK$504,MATCH(105,'Diario'!$AQ$5:$AQ$504,0)))</f>
        <v>#N/A</v>
      </c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  <c r="AA111" s="1" t="n"/>
      <c r="AB111" s="1" t="n"/>
      <c r="AC111" s="1" t="n"/>
      <c r="AD111" s="1" t="n">
        <v>106</v>
      </c>
      <c r="AE111" t="e">
        <f>IF(106&gt;$AB$5,NA(),INDEX('Diario'!$AK$5:$AK$504,MATCH(106,'Diario'!$AQ$5:$AQ$504,0)))</f>
        <v>#N/A</v>
      </c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  <c r="AA112" s="1" t="n"/>
      <c r="AB112" s="1" t="n"/>
      <c r="AC112" s="1" t="n"/>
      <c r="AD112" s="1" t="n">
        <v>107</v>
      </c>
      <c r="AE112" t="e">
        <f>IF(107&gt;$AB$5,NA(),INDEX('Diario'!$AK$5:$AK$504,MATCH(107,'Diario'!$AQ$5:$AQ$504,0)))</f>
        <v>#N/A</v>
      </c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  <c r="AA113" s="1" t="n"/>
      <c r="AB113" s="1" t="n"/>
      <c r="AC113" s="1" t="n"/>
      <c r="AD113" s="1" t="n">
        <v>108</v>
      </c>
      <c r="AE113" t="e">
        <f>IF(108&gt;$AB$5,NA(),INDEX('Diario'!$AK$5:$AK$504,MATCH(108,'Diario'!$AQ$5:$AQ$504,0)))</f>
        <v>#N/A</v>
      </c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  <c r="AA114" s="1" t="n"/>
      <c r="AB114" s="1" t="n"/>
      <c r="AC114" s="1" t="n"/>
      <c r="AD114" s="1" t="n">
        <v>109</v>
      </c>
      <c r="AE114" t="e">
        <f>IF(109&gt;$AB$5,NA(),INDEX('Diario'!$AK$5:$AK$504,MATCH(109,'Diario'!$AQ$5:$AQ$504,0)))</f>
        <v>#N/A</v>
      </c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  <c r="AA115" s="1" t="n"/>
      <c r="AB115" s="1" t="n"/>
      <c r="AC115" s="1" t="n"/>
      <c r="AD115" s="1" t="n">
        <v>110</v>
      </c>
      <c r="AE115" t="e">
        <f>IF(110&gt;$AB$5,NA(),INDEX('Diario'!$AK$5:$AK$504,MATCH(110,'Diario'!$AQ$5:$AQ$504,0)))</f>
        <v>#N/A</v>
      </c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  <c r="AA116" s="1" t="n"/>
      <c r="AB116" s="1" t="n"/>
      <c r="AC116" s="1" t="n"/>
      <c r="AD116" s="1" t="n">
        <v>111</v>
      </c>
      <c r="AE116" t="e">
        <f>IF(111&gt;$AB$5,NA(),INDEX('Diario'!$AK$5:$AK$504,MATCH(111,'Diario'!$AQ$5:$AQ$504,0)))</f>
        <v>#N/A</v>
      </c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  <c r="AA117" s="1" t="n"/>
      <c r="AB117" s="1" t="n"/>
      <c r="AC117" s="1" t="n"/>
      <c r="AD117" s="1" t="n">
        <v>112</v>
      </c>
      <c r="AE117" t="e">
        <f>IF(112&gt;$AB$5,NA(),INDEX('Diario'!$AK$5:$AK$504,MATCH(112,'Diario'!$AQ$5:$AQ$504,0)))</f>
        <v>#N/A</v>
      </c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  <c r="AA118" s="1" t="n"/>
      <c r="AB118" s="1" t="n"/>
      <c r="AC118" s="1" t="n"/>
      <c r="AD118" s="1" t="n">
        <v>113</v>
      </c>
      <c r="AE118" t="e">
        <f>IF(113&gt;$AB$5,NA(),INDEX('Diario'!$AK$5:$AK$504,MATCH(113,'Diario'!$AQ$5:$AQ$504,0)))</f>
        <v>#N/A</v>
      </c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  <c r="AA119" s="1" t="n"/>
      <c r="AB119" s="1" t="n"/>
      <c r="AC119" s="1" t="n"/>
      <c r="AD119" s="1" t="n">
        <v>114</v>
      </c>
      <c r="AE119" t="e">
        <f>IF(114&gt;$AB$5,NA(),INDEX('Diario'!$AK$5:$AK$504,MATCH(114,'Diario'!$AQ$5:$AQ$504,0)))</f>
        <v>#N/A</v>
      </c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  <c r="AA120" s="1" t="n"/>
      <c r="AB120" s="1" t="n"/>
      <c r="AC120" s="1" t="n"/>
      <c r="AD120" s="1" t="n">
        <v>115</v>
      </c>
      <c r="AE120" t="e">
        <f>IF(115&gt;$AB$5,NA(),INDEX('Diario'!$AK$5:$AK$504,MATCH(115,'Diario'!$AQ$5:$AQ$504,0)))</f>
        <v>#N/A</v>
      </c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  <c r="AA121" s="1" t="n"/>
      <c r="AB121" s="1" t="n"/>
      <c r="AC121" s="1" t="n"/>
      <c r="AD121" s="1" t="n">
        <v>116</v>
      </c>
      <c r="AE121" t="e">
        <f>IF(116&gt;$AB$5,NA(),INDEX('Diario'!$AK$5:$AK$504,MATCH(116,'Diario'!$AQ$5:$AQ$504,0)))</f>
        <v>#N/A</v>
      </c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  <c r="AA122" s="1" t="n"/>
      <c r="AB122" s="1" t="n"/>
      <c r="AC122" s="1" t="n"/>
      <c r="AD122" s="1" t="n">
        <v>117</v>
      </c>
      <c r="AE122" t="e">
        <f>IF(117&gt;$AB$5,NA(),INDEX('Diario'!$AK$5:$AK$504,MATCH(117,'Diario'!$AQ$5:$AQ$504,0)))</f>
        <v>#N/A</v>
      </c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  <c r="AA123" s="1" t="n"/>
      <c r="AB123" s="1" t="n"/>
      <c r="AC123" s="1" t="n"/>
      <c r="AD123" s="1" t="n">
        <v>118</v>
      </c>
      <c r="AE123" t="e">
        <f>IF(118&gt;$AB$5,NA(),INDEX('Diario'!$AK$5:$AK$504,MATCH(118,'Diario'!$AQ$5:$AQ$504,0)))</f>
        <v>#N/A</v>
      </c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  <c r="AA124" s="1" t="n"/>
      <c r="AB124" s="1" t="n"/>
      <c r="AC124" s="1" t="n"/>
      <c r="AD124" s="1" t="n">
        <v>119</v>
      </c>
      <c r="AE124" t="e">
        <f>IF(119&gt;$AB$5,NA(),INDEX('Diario'!$AK$5:$AK$504,MATCH(119,'Diario'!$AQ$5:$AQ$504,0)))</f>
        <v>#N/A</v>
      </c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  <c r="AA125" s="1" t="n"/>
      <c r="AB125" s="1" t="n"/>
      <c r="AC125" s="1" t="n"/>
      <c r="AD125" s="1" t="n">
        <v>120</v>
      </c>
      <c r="AE125" t="e">
        <f>IF(120&gt;$AB$5,NA(),INDEX('Diario'!$AK$5:$AK$504,MATCH(120,'Diario'!$AQ$5:$AQ$504,0)))</f>
        <v>#N/A</v>
      </c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  <c r="AA126" s="1" t="n"/>
      <c r="AB126" s="1" t="n"/>
      <c r="AC126" s="1" t="n"/>
      <c r="AD126" s="1" t="n">
        <v>121</v>
      </c>
      <c r="AE126" t="e">
        <f>IF(121&gt;$AB$5,NA(),INDEX('Diario'!$AK$5:$AK$504,MATCH(121,'Diario'!$AQ$5:$AQ$504,0)))</f>
        <v>#N/A</v>
      </c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  <c r="AA127" s="1" t="n"/>
      <c r="AB127" s="1" t="n"/>
      <c r="AC127" s="1" t="n"/>
      <c r="AD127" s="1" t="n">
        <v>122</v>
      </c>
      <c r="AE127" t="e">
        <f>IF(122&gt;$AB$5,NA(),INDEX('Diario'!$AK$5:$AK$504,MATCH(122,'Diario'!$AQ$5:$AQ$504,0)))</f>
        <v>#N/A</v>
      </c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  <c r="AA128" s="1" t="n"/>
      <c r="AB128" s="1" t="n"/>
      <c r="AC128" s="1" t="n"/>
      <c r="AD128" s="1" t="n">
        <v>123</v>
      </c>
      <c r="AE128" t="e">
        <f>IF(123&gt;$AB$5,NA(),INDEX('Diario'!$AK$5:$AK$504,MATCH(123,'Diario'!$AQ$5:$AQ$504,0)))</f>
        <v>#N/A</v>
      </c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  <c r="AA129" s="1" t="n"/>
      <c r="AB129" s="1" t="n"/>
      <c r="AC129" s="1" t="n"/>
      <c r="AD129" s="1" t="n">
        <v>124</v>
      </c>
      <c r="AE129" t="e">
        <f>IF(124&gt;$AB$5,NA(),INDEX('Diario'!$AK$5:$AK$504,MATCH(124,'Diario'!$AQ$5:$AQ$504,0)))</f>
        <v>#N/A</v>
      </c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  <c r="AA130" s="1" t="n"/>
      <c r="AB130" s="1" t="n"/>
      <c r="AC130" s="1" t="n"/>
      <c r="AD130" s="1" t="n">
        <v>125</v>
      </c>
      <c r="AE130" t="e">
        <f>IF(125&gt;$AB$5,NA(),INDEX('Diario'!$AK$5:$AK$504,MATCH(125,'Diario'!$AQ$5:$AQ$504,0)))</f>
        <v>#N/A</v>
      </c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  <c r="AA131" s="1" t="n"/>
      <c r="AB131" s="1" t="n"/>
      <c r="AC131" s="1" t="n"/>
      <c r="AD131" s="1" t="n">
        <v>126</v>
      </c>
      <c r="AE131" t="e">
        <f>IF(126&gt;$AB$5,NA(),INDEX('Diario'!$AK$5:$AK$504,MATCH(126,'Diario'!$AQ$5:$AQ$504,0)))</f>
        <v>#N/A</v>
      </c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  <c r="AA132" s="1" t="n"/>
      <c r="AB132" s="1" t="n"/>
      <c r="AC132" s="1" t="n"/>
      <c r="AD132" s="1" t="n">
        <v>127</v>
      </c>
      <c r="AE132" t="e">
        <f>IF(127&gt;$AB$5,NA(),INDEX('Diario'!$AK$5:$AK$504,MATCH(127,'Diario'!$AQ$5:$AQ$504,0)))</f>
        <v>#N/A</v>
      </c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  <c r="AA133" s="1" t="n"/>
      <c r="AB133" s="1" t="n"/>
      <c r="AC133" s="1" t="n"/>
      <c r="AD133" s="1" t="n">
        <v>128</v>
      </c>
      <c r="AE133" t="e">
        <f>IF(128&gt;$AB$5,NA(),INDEX('Diario'!$AK$5:$AK$504,MATCH(128,'Diario'!$AQ$5:$AQ$504,0)))</f>
        <v>#N/A</v>
      </c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  <c r="AA134" s="1" t="n"/>
      <c r="AB134" s="1" t="n"/>
      <c r="AC134" s="1" t="n"/>
      <c r="AD134" s="1" t="n">
        <v>129</v>
      </c>
      <c r="AE134" t="e">
        <f>IF(129&gt;$AB$5,NA(),INDEX('Diario'!$AK$5:$AK$504,MATCH(129,'Diario'!$AQ$5:$AQ$504,0)))</f>
        <v>#N/A</v>
      </c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  <c r="AA135" s="1" t="n"/>
      <c r="AB135" s="1" t="n"/>
      <c r="AC135" s="1" t="n"/>
      <c r="AD135" s="1" t="n">
        <v>130</v>
      </c>
      <c r="AE135" t="e">
        <f>IF(130&gt;$AB$5,NA(),INDEX('Diario'!$AK$5:$AK$504,MATCH(130,'Diario'!$AQ$5:$AQ$504,0)))</f>
        <v>#N/A</v>
      </c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  <c r="AA136" s="1" t="n"/>
      <c r="AB136" s="1" t="n"/>
      <c r="AC136" s="1" t="n"/>
      <c r="AD136" s="1" t="n">
        <v>131</v>
      </c>
      <c r="AE136" t="e">
        <f>IF(131&gt;$AB$5,NA(),INDEX('Diario'!$AK$5:$AK$504,MATCH(131,'Diario'!$AQ$5:$AQ$504,0)))</f>
        <v>#N/A</v>
      </c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  <c r="AA137" s="1" t="n"/>
      <c r="AB137" s="1" t="n"/>
      <c r="AC137" s="1" t="n"/>
      <c r="AD137" s="1" t="n">
        <v>132</v>
      </c>
      <c r="AE137" t="e">
        <f>IF(132&gt;$AB$5,NA(),INDEX('Diario'!$AK$5:$AK$504,MATCH(132,'Diario'!$AQ$5:$AQ$504,0)))</f>
        <v>#N/A</v>
      </c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  <c r="AA138" s="1" t="n"/>
      <c r="AB138" s="1" t="n"/>
      <c r="AC138" s="1" t="n"/>
      <c r="AD138" s="1" t="n">
        <v>133</v>
      </c>
      <c r="AE138" t="e">
        <f>IF(133&gt;$AB$5,NA(),INDEX('Diario'!$AK$5:$AK$504,MATCH(133,'Diario'!$AQ$5:$AQ$504,0)))</f>
        <v>#N/A</v>
      </c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  <c r="AA139" s="1" t="n"/>
      <c r="AB139" s="1" t="n"/>
      <c r="AC139" s="1" t="n"/>
      <c r="AD139" s="1" t="n">
        <v>134</v>
      </c>
      <c r="AE139" t="e">
        <f>IF(134&gt;$AB$5,NA(),INDEX('Diario'!$AK$5:$AK$504,MATCH(134,'Diario'!$AQ$5:$AQ$504,0)))</f>
        <v>#N/A</v>
      </c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  <c r="AA140" s="1" t="n"/>
      <c r="AB140" s="1" t="n"/>
      <c r="AC140" s="1" t="n"/>
      <c r="AD140" s="1" t="n">
        <v>135</v>
      </c>
      <c r="AE140" t="e">
        <f>IF(135&gt;$AB$5,NA(),INDEX('Diario'!$AK$5:$AK$504,MATCH(135,'Diario'!$AQ$5:$AQ$504,0)))</f>
        <v>#N/A</v>
      </c>
    </row>
    <row r="141">
      <c r="AD141" t="n">
        <v>136</v>
      </c>
      <c r="AE141" t="e">
        <f>IF(136&gt;$AB$5,NA(),INDEX('Diario'!$AK$5:$AK$504,MATCH(136,'Diario'!$AQ$5:$AQ$504,0)))</f>
        <v>#N/A</v>
      </c>
    </row>
    <row r="142">
      <c r="AD142" t="n">
        <v>137</v>
      </c>
      <c r="AE142" t="e">
        <f>IF(137&gt;$AB$5,NA(),INDEX('Diario'!$AK$5:$AK$504,MATCH(137,'Diario'!$AQ$5:$AQ$504,0)))</f>
        <v>#N/A</v>
      </c>
    </row>
    <row r="143">
      <c r="AD143" t="n">
        <v>138</v>
      </c>
      <c r="AE143" t="e">
        <f>IF(138&gt;$AB$5,NA(),INDEX('Diario'!$AK$5:$AK$504,MATCH(138,'Diario'!$AQ$5:$AQ$504,0)))</f>
        <v>#N/A</v>
      </c>
    </row>
    <row r="144">
      <c r="AD144" t="n">
        <v>139</v>
      </c>
      <c r="AE144" t="e">
        <f>IF(139&gt;$AB$5,NA(),INDEX('Diario'!$AK$5:$AK$504,MATCH(139,'Diario'!$AQ$5:$AQ$504,0)))</f>
        <v>#N/A</v>
      </c>
    </row>
    <row r="145">
      <c r="AD145" t="n">
        <v>140</v>
      </c>
      <c r="AE145" t="e">
        <f>IF(140&gt;$AB$5,NA(),INDEX('Diario'!$AK$5:$AK$504,MATCH(140,'Diario'!$AQ$5:$AQ$504,0)))</f>
        <v>#N/A</v>
      </c>
    </row>
    <row r="146">
      <c r="AD146" t="n">
        <v>141</v>
      </c>
      <c r="AE146" t="e">
        <f>IF(141&gt;$AB$5,NA(),INDEX('Diario'!$AK$5:$AK$504,MATCH(141,'Diario'!$AQ$5:$AQ$504,0)))</f>
        <v>#N/A</v>
      </c>
    </row>
    <row r="147">
      <c r="AD147" t="n">
        <v>142</v>
      </c>
      <c r="AE147" t="e">
        <f>IF(142&gt;$AB$5,NA(),INDEX('Diario'!$AK$5:$AK$504,MATCH(142,'Diario'!$AQ$5:$AQ$504,0)))</f>
        <v>#N/A</v>
      </c>
    </row>
    <row r="148">
      <c r="AD148" t="n">
        <v>143</v>
      </c>
      <c r="AE148" t="e">
        <f>IF(143&gt;$AB$5,NA(),INDEX('Diario'!$AK$5:$AK$504,MATCH(143,'Diario'!$AQ$5:$AQ$504,0)))</f>
        <v>#N/A</v>
      </c>
    </row>
    <row r="149">
      <c r="AD149" t="n">
        <v>144</v>
      </c>
      <c r="AE149" t="e">
        <f>IF(144&gt;$AB$5,NA(),INDEX('Diario'!$AK$5:$AK$504,MATCH(144,'Diario'!$AQ$5:$AQ$504,0)))</f>
        <v>#N/A</v>
      </c>
    </row>
    <row r="150">
      <c r="AD150" t="n">
        <v>145</v>
      </c>
      <c r="AE150" t="e">
        <f>IF(145&gt;$AB$5,NA(),INDEX('Diario'!$AK$5:$AK$504,MATCH(145,'Diario'!$AQ$5:$AQ$504,0)))</f>
        <v>#N/A</v>
      </c>
    </row>
    <row r="151">
      <c r="AD151" t="n">
        <v>146</v>
      </c>
      <c r="AE151" t="e">
        <f>IF(146&gt;$AB$5,NA(),INDEX('Diario'!$AK$5:$AK$504,MATCH(146,'Diario'!$AQ$5:$AQ$504,0)))</f>
        <v>#N/A</v>
      </c>
    </row>
    <row r="152">
      <c r="AD152" t="n">
        <v>147</v>
      </c>
      <c r="AE152" t="e">
        <f>IF(147&gt;$AB$5,NA(),INDEX('Diario'!$AK$5:$AK$504,MATCH(147,'Diario'!$AQ$5:$AQ$504,0)))</f>
        <v>#N/A</v>
      </c>
    </row>
    <row r="153">
      <c r="AD153" t="n">
        <v>148</v>
      </c>
      <c r="AE153" t="e">
        <f>IF(148&gt;$AB$5,NA(),INDEX('Diario'!$AK$5:$AK$504,MATCH(148,'Diario'!$AQ$5:$AQ$504,0)))</f>
        <v>#N/A</v>
      </c>
    </row>
    <row r="154">
      <c r="AD154" t="n">
        <v>149</v>
      </c>
      <c r="AE154" t="e">
        <f>IF(149&gt;$AB$5,NA(),INDEX('Diario'!$AK$5:$AK$504,MATCH(149,'Diario'!$AQ$5:$AQ$504,0)))</f>
        <v>#N/A</v>
      </c>
    </row>
    <row r="155">
      <c r="AD155" t="n">
        <v>150</v>
      </c>
      <c r="AE155" t="e">
        <f>IF(150&gt;$AB$5,NA(),INDEX('Diario'!$AK$5:$AK$504,MATCH(150,'Diario'!$AQ$5:$AQ$504,0)))</f>
        <v>#N/A</v>
      </c>
    </row>
    <row r="156">
      <c r="AD156" t="n">
        <v>151</v>
      </c>
      <c r="AE156" t="e">
        <f>IF(151&gt;$AB$5,NA(),INDEX('Diario'!$AK$5:$AK$504,MATCH(151,'Diario'!$AQ$5:$AQ$504,0)))</f>
        <v>#N/A</v>
      </c>
    </row>
    <row r="157">
      <c r="AD157" t="n">
        <v>152</v>
      </c>
      <c r="AE157" t="e">
        <f>IF(152&gt;$AB$5,NA(),INDEX('Diario'!$AK$5:$AK$504,MATCH(152,'Diario'!$AQ$5:$AQ$504,0)))</f>
        <v>#N/A</v>
      </c>
    </row>
    <row r="158">
      <c r="AD158" t="n">
        <v>153</v>
      </c>
      <c r="AE158" t="e">
        <f>IF(153&gt;$AB$5,NA(),INDEX('Diario'!$AK$5:$AK$504,MATCH(153,'Diario'!$AQ$5:$AQ$504,0)))</f>
        <v>#N/A</v>
      </c>
    </row>
    <row r="159">
      <c r="AD159" t="n">
        <v>154</v>
      </c>
      <c r="AE159" t="e">
        <f>IF(154&gt;$AB$5,NA(),INDEX('Diario'!$AK$5:$AK$504,MATCH(154,'Diario'!$AQ$5:$AQ$504,0)))</f>
        <v>#N/A</v>
      </c>
    </row>
    <row r="160">
      <c r="AD160" t="n">
        <v>155</v>
      </c>
      <c r="AE160" t="e">
        <f>IF(155&gt;$AB$5,NA(),INDEX('Diario'!$AK$5:$AK$504,MATCH(155,'Diario'!$AQ$5:$AQ$504,0)))</f>
        <v>#N/A</v>
      </c>
    </row>
    <row r="161">
      <c r="AD161" t="n">
        <v>156</v>
      </c>
      <c r="AE161" t="e">
        <f>IF(156&gt;$AB$5,NA(),INDEX('Diario'!$AK$5:$AK$504,MATCH(156,'Diario'!$AQ$5:$AQ$504,0)))</f>
        <v>#N/A</v>
      </c>
    </row>
    <row r="162">
      <c r="AD162" t="n">
        <v>157</v>
      </c>
      <c r="AE162" t="e">
        <f>IF(157&gt;$AB$5,NA(),INDEX('Diario'!$AK$5:$AK$504,MATCH(157,'Diario'!$AQ$5:$AQ$504,0)))</f>
        <v>#N/A</v>
      </c>
    </row>
    <row r="163">
      <c r="AD163" t="n">
        <v>158</v>
      </c>
      <c r="AE163" t="e">
        <f>IF(158&gt;$AB$5,NA(),INDEX('Diario'!$AK$5:$AK$504,MATCH(158,'Diario'!$AQ$5:$AQ$504,0)))</f>
        <v>#N/A</v>
      </c>
    </row>
    <row r="164">
      <c r="AD164" t="n">
        <v>159</v>
      </c>
      <c r="AE164" t="e">
        <f>IF(159&gt;$AB$5,NA(),INDEX('Diario'!$AK$5:$AK$504,MATCH(159,'Diario'!$AQ$5:$AQ$504,0)))</f>
        <v>#N/A</v>
      </c>
    </row>
    <row r="165">
      <c r="AD165" t="n">
        <v>160</v>
      </c>
      <c r="AE165" t="e">
        <f>IF(160&gt;$AB$5,NA(),INDEX('Diario'!$AK$5:$AK$504,MATCH(160,'Diario'!$AQ$5:$AQ$504,0)))</f>
        <v>#N/A</v>
      </c>
    </row>
    <row r="166">
      <c r="AD166" t="n">
        <v>161</v>
      </c>
      <c r="AE166" t="e">
        <f>IF(161&gt;$AB$5,NA(),INDEX('Diario'!$AK$5:$AK$504,MATCH(161,'Diario'!$AQ$5:$AQ$504,0)))</f>
        <v>#N/A</v>
      </c>
    </row>
    <row r="167">
      <c r="AD167" t="n">
        <v>162</v>
      </c>
      <c r="AE167" t="e">
        <f>IF(162&gt;$AB$5,NA(),INDEX('Diario'!$AK$5:$AK$504,MATCH(162,'Diario'!$AQ$5:$AQ$504,0)))</f>
        <v>#N/A</v>
      </c>
    </row>
    <row r="168">
      <c r="AD168" t="n">
        <v>163</v>
      </c>
      <c r="AE168" t="e">
        <f>IF(163&gt;$AB$5,NA(),INDEX('Diario'!$AK$5:$AK$504,MATCH(163,'Diario'!$AQ$5:$AQ$504,0)))</f>
        <v>#N/A</v>
      </c>
    </row>
    <row r="169">
      <c r="AD169" t="n">
        <v>164</v>
      </c>
      <c r="AE169" t="e">
        <f>IF(164&gt;$AB$5,NA(),INDEX('Diario'!$AK$5:$AK$504,MATCH(164,'Diario'!$AQ$5:$AQ$504,0)))</f>
        <v>#N/A</v>
      </c>
    </row>
    <row r="170">
      <c r="AD170" t="n">
        <v>165</v>
      </c>
      <c r="AE170" t="e">
        <f>IF(165&gt;$AB$5,NA(),INDEX('Diario'!$AK$5:$AK$504,MATCH(165,'Diario'!$AQ$5:$AQ$504,0)))</f>
        <v>#N/A</v>
      </c>
    </row>
    <row r="171">
      <c r="AD171" t="n">
        <v>166</v>
      </c>
      <c r="AE171" t="e">
        <f>IF(166&gt;$AB$5,NA(),INDEX('Diario'!$AK$5:$AK$504,MATCH(166,'Diario'!$AQ$5:$AQ$504,0)))</f>
        <v>#N/A</v>
      </c>
    </row>
    <row r="172">
      <c r="AD172" t="n">
        <v>167</v>
      </c>
      <c r="AE172" t="e">
        <f>IF(167&gt;$AB$5,NA(),INDEX('Diario'!$AK$5:$AK$504,MATCH(167,'Diario'!$AQ$5:$AQ$504,0)))</f>
        <v>#N/A</v>
      </c>
    </row>
    <row r="173">
      <c r="AD173" t="n">
        <v>168</v>
      </c>
      <c r="AE173" t="e">
        <f>IF(168&gt;$AB$5,NA(),INDEX('Diario'!$AK$5:$AK$504,MATCH(168,'Diario'!$AQ$5:$AQ$504,0)))</f>
        <v>#N/A</v>
      </c>
    </row>
    <row r="174">
      <c r="AD174" t="n">
        <v>169</v>
      </c>
      <c r="AE174" t="e">
        <f>IF(169&gt;$AB$5,NA(),INDEX('Diario'!$AK$5:$AK$504,MATCH(169,'Diario'!$AQ$5:$AQ$504,0)))</f>
        <v>#N/A</v>
      </c>
    </row>
    <row r="175">
      <c r="AD175" t="n">
        <v>170</v>
      </c>
      <c r="AE175" t="e">
        <f>IF(170&gt;$AB$5,NA(),INDEX('Diario'!$AK$5:$AK$504,MATCH(170,'Diario'!$AQ$5:$AQ$504,0)))</f>
        <v>#N/A</v>
      </c>
    </row>
    <row r="176">
      <c r="AD176" t="n">
        <v>171</v>
      </c>
      <c r="AE176" t="e">
        <f>IF(171&gt;$AB$5,NA(),INDEX('Diario'!$AK$5:$AK$504,MATCH(171,'Diario'!$AQ$5:$AQ$504,0)))</f>
        <v>#N/A</v>
      </c>
    </row>
    <row r="177">
      <c r="AD177" t="n">
        <v>172</v>
      </c>
      <c r="AE177" t="e">
        <f>IF(172&gt;$AB$5,NA(),INDEX('Diario'!$AK$5:$AK$504,MATCH(172,'Diario'!$AQ$5:$AQ$504,0)))</f>
        <v>#N/A</v>
      </c>
    </row>
    <row r="178">
      <c r="AD178" t="n">
        <v>173</v>
      </c>
      <c r="AE178" t="e">
        <f>IF(173&gt;$AB$5,NA(),INDEX('Diario'!$AK$5:$AK$504,MATCH(173,'Diario'!$AQ$5:$AQ$504,0)))</f>
        <v>#N/A</v>
      </c>
    </row>
    <row r="179">
      <c r="AD179" t="n">
        <v>174</v>
      </c>
      <c r="AE179" t="e">
        <f>IF(174&gt;$AB$5,NA(),INDEX('Diario'!$AK$5:$AK$504,MATCH(174,'Diario'!$AQ$5:$AQ$504,0)))</f>
        <v>#N/A</v>
      </c>
    </row>
    <row r="180">
      <c r="AD180" t="n">
        <v>175</v>
      </c>
      <c r="AE180" t="e">
        <f>IF(175&gt;$AB$5,NA(),INDEX('Diario'!$AK$5:$AK$504,MATCH(175,'Diario'!$AQ$5:$AQ$504,0)))</f>
        <v>#N/A</v>
      </c>
    </row>
    <row r="181">
      <c r="AD181" t="n">
        <v>176</v>
      </c>
      <c r="AE181" t="e">
        <f>IF(176&gt;$AB$5,NA(),INDEX('Diario'!$AK$5:$AK$504,MATCH(176,'Diario'!$AQ$5:$AQ$504,0)))</f>
        <v>#N/A</v>
      </c>
    </row>
    <row r="182">
      <c r="AD182" t="n">
        <v>177</v>
      </c>
      <c r="AE182" t="e">
        <f>IF(177&gt;$AB$5,NA(),INDEX('Diario'!$AK$5:$AK$504,MATCH(177,'Diario'!$AQ$5:$AQ$504,0)))</f>
        <v>#N/A</v>
      </c>
    </row>
    <row r="183">
      <c r="AD183" t="n">
        <v>178</v>
      </c>
      <c r="AE183" t="e">
        <f>IF(178&gt;$AB$5,NA(),INDEX('Diario'!$AK$5:$AK$504,MATCH(178,'Diario'!$AQ$5:$AQ$504,0)))</f>
        <v>#N/A</v>
      </c>
    </row>
    <row r="184">
      <c r="AD184" t="n">
        <v>179</v>
      </c>
      <c r="AE184" t="e">
        <f>IF(179&gt;$AB$5,NA(),INDEX('Diario'!$AK$5:$AK$504,MATCH(179,'Diario'!$AQ$5:$AQ$504,0)))</f>
        <v>#N/A</v>
      </c>
    </row>
    <row r="185">
      <c r="AD185" t="n">
        <v>180</v>
      </c>
      <c r="AE185" t="e">
        <f>IF(180&gt;$AB$5,NA(),INDEX('Diario'!$AK$5:$AK$504,MATCH(180,'Diario'!$AQ$5:$AQ$504,0)))</f>
        <v>#N/A</v>
      </c>
    </row>
    <row r="186">
      <c r="AD186" t="n">
        <v>181</v>
      </c>
      <c r="AE186" t="e">
        <f>IF(181&gt;$AB$5,NA(),INDEX('Diario'!$AK$5:$AK$504,MATCH(181,'Diario'!$AQ$5:$AQ$504,0)))</f>
        <v>#N/A</v>
      </c>
    </row>
    <row r="187">
      <c r="AD187" t="n">
        <v>182</v>
      </c>
      <c r="AE187" t="e">
        <f>IF(182&gt;$AB$5,NA(),INDEX('Diario'!$AK$5:$AK$504,MATCH(182,'Diario'!$AQ$5:$AQ$504,0)))</f>
        <v>#N/A</v>
      </c>
    </row>
    <row r="188">
      <c r="AD188" t="n">
        <v>183</v>
      </c>
      <c r="AE188" t="e">
        <f>IF(183&gt;$AB$5,NA(),INDEX('Diario'!$AK$5:$AK$504,MATCH(183,'Diario'!$AQ$5:$AQ$504,0)))</f>
        <v>#N/A</v>
      </c>
    </row>
    <row r="189">
      <c r="AD189" t="n">
        <v>184</v>
      </c>
      <c r="AE189" t="e">
        <f>IF(184&gt;$AB$5,NA(),INDEX('Diario'!$AK$5:$AK$504,MATCH(184,'Diario'!$AQ$5:$AQ$504,0)))</f>
        <v>#N/A</v>
      </c>
    </row>
    <row r="190">
      <c r="AD190" t="n">
        <v>185</v>
      </c>
      <c r="AE190" t="e">
        <f>IF(185&gt;$AB$5,NA(),INDEX('Diario'!$AK$5:$AK$504,MATCH(185,'Diario'!$AQ$5:$AQ$504,0)))</f>
        <v>#N/A</v>
      </c>
    </row>
    <row r="191">
      <c r="AD191" t="n">
        <v>186</v>
      </c>
      <c r="AE191" t="e">
        <f>IF(186&gt;$AB$5,NA(),INDEX('Diario'!$AK$5:$AK$504,MATCH(186,'Diario'!$AQ$5:$AQ$504,0)))</f>
        <v>#N/A</v>
      </c>
    </row>
    <row r="192">
      <c r="AD192" t="n">
        <v>187</v>
      </c>
      <c r="AE192" t="e">
        <f>IF(187&gt;$AB$5,NA(),INDEX('Diario'!$AK$5:$AK$504,MATCH(187,'Diario'!$AQ$5:$AQ$504,0)))</f>
        <v>#N/A</v>
      </c>
    </row>
    <row r="193">
      <c r="AD193" t="n">
        <v>188</v>
      </c>
      <c r="AE193" t="e">
        <f>IF(188&gt;$AB$5,NA(),INDEX('Diario'!$AK$5:$AK$504,MATCH(188,'Diario'!$AQ$5:$AQ$504,0)))</f>
        <v>#N/A</v>
      </c>
    </row>
    <row r="194">
      <c r="AD194" t="n">
        <v>189</v>
      </c>
      <c r="AE194" t="e">
        <f>IF(189&gt;$AB$5,NA(),INDEX('Diario'!$AK$5:$AK$504,MATCH(189,'Diario'!$AQ$5:$AQ$504,0)))</f>
        <v>#N/A</v>
      </c>
    </row>
    <row r="195">
      <c r="AD195" t="n">
        <v>190</v>
      </c>
      <c r="AE195" t="e">
        <f>IF(190&gt;$AB$5,NA(),INDEX('Diario'!$AK$5:$AK$504,MATCH(190,'Diario'!$AQ$5:$AQ$504,0)))</f>
        <v>#N/A</v>
      </c>
    </row>
    <row r="196">
      <c r="AD196" t="n">
        <v>191</v>
      </c>
      <c r="AE196" t="e">
        <f>IF(191&gt;$AB$5,NA(),INDEX('Diario'!$AK$5:$AK$504,MATCH(191,'Diario'!$AQ$5:$AQ$504,0)))</f>
        <v>#N/A</v>
      </c>
    </row>
    <row r="197">
      <c r="AD197" t="n">
        <v>192</v>
      </c>
      <c r="AE197" t="e">
        <f>IF(192&gt;$AB$5,NA(),INDEX('Diario'!$AK$5:$AK$504,MATCH(192,'Diario'!$AQ$5:$AQ$504,0)))</f>
        <v>#N/A</v>
      </c>
    </row>
    <row r="198">
      <c r="AD198" t="n">
        <v>193</v>
      </c>
      <c r="AE198" t="e">
        <f>IF(193&gt;$AB$5,NA(),INDEX('Diario'!$AK$5:$AK$504,MATCH(193,'Diario'!$AQ$5:$AQ$504,0)))</f>
        <v>#N/A</v>
      </c>
    </row>
    <row r="199">
      <c r="AD199" t="n">
        <v>194</v>
      </c>
      <c r="AE199" t="e">
        <f>IF(194&gt;$AB$5,NA(),INDEX('Diario'!$AK$5:$AK$504,MATCH(194,'Diario'!$AQ$5:$AQ$504,0)))</f>
        <v>#N/A</v>
      </c>
    </row>
    <row r="200">
      <c r="AD200" t="n">
        <v>195</v>
      </c>
      <c r="AE200" t="e">
        <f>IF(195&gt;$AB$5,NA(),INDEX('Diario'!$AK$5:$AK$504,MATCH(195,'Diario'!$AQ$5:$AQ$504,0)))</f>
        <v>#N/A</v>
      </c>
    </row>
    <row r="201">
      <c r="AD201" t="n">
        <v>196</v>
      </c>
      <c r="AE201" t="e">
        <f>IF(196&gt;$AB$5,NA(),INDEX('Diario'!$AK$5:$AK$504,MATCH(196,'Diario'!$AQ$5:$AQ$504,0)))</f>
        <v>#N/A</v>
      </c>
    </row>
    <row r="202">
      <c r="AD202" t="n">
        <v>197</v>
      </c>
      <c r="AE202" t="e">
        <f>IF(197&gt;$AB$5,NA(),INDEX('Diario'!$AK$5:$AK$504,MATCH(197,'Diario'!$AQ$5:$AQ$504,0)))</f>
        <v>#N/A</v>
      </c>
    </row>
    <row r="203">
      <c r="AD203" t="n">
        <v>198</v>
      </c>
      <c r="AE203" t="e">
        <f>IF(198&gt;$AB$5,NA(),INDEX('Diario'!$AK$5:$AK$504,MATCH(198,'Diario'!$AQ$5:$AQ$504,0)))</f>
        <v>#N/A</v>
      </c>
    </row>
    <row r="204">
      <c r="AD204" t="n">
        <v>199</v>
      </c>
      <c r="AE204" t="e">
        <f>IF(199&gt;$AB$5,NA(),INDEX('Diario'!$AK$5:$AK$504,MATCH(199,'Diario'!$AQ$5:$AQ$504,0)))</f>
        <v>#N/A</v>
      </c>
    </row>
    <row r="205">
      <c r="AD205" t="n">
        <v>200</v>
      </c>
      <c r="AE205" t="e">
        <f>IF(200&gt;$AB$5,NA(),INDEX('Diario'!$AK$5:$AK$504,MATCH(200,'Diario'!$AQ$5:$AQ$504,0)))</f>
        <v>#N/A</v>
      </c>
    </row>
    <row r="206">
      <c r="AD206" t="n">
        <v>201</v>
      </c>
      <c r="AE206" t="e">
        <f>IF(201&gt;$AB$5,NA(),INDEX('Diario'!$AK$5:$AK$504,MATCH(201,'Diario'!$AQ$5:$AQ$504,0)))</f>
        <v>#N/A</v>
      </c>
    </row>
    <row r="207">
      <c r="AD207" t="n">
        <v>202</v>
      </c>
      <c r="AE207" t="e">
        <f>IF(202&gt;$AB$5,NA(),INDEX('Diario'!$AK$5:$AK$504,MATCH(202,'Diario'!$AQ$5:$AQ$504,0)))</f>
        <v>#N/A</v>
      </c>
    </row>
    <row r="208">
      <c r="AD208" t="n">
        <v>203</v>
      </c>
      <c r="AE208" t="e">
        <f>IF(203&gt;$AB$5,NA(),INDEX('Diario'!$AK$5:$AK$504,MATCH(203,'Diario'!$AQ$5:$AQ$504,0)))</f>
        <v>#N/A</v>
      </c>
    </row>
    <row r="209">
      <c r="AD209" t="n">
        <v>204</v>
      </c>
      <c r="AE209" t="e">
        <f>IF(204&gt;$AB$5,NA(),INDEX('Diario'!$AK$5:$AK$504,MATCH(204,'Diario'!$AQ$5:$AQ$504,0)))</f>
        <v>#N/A</v>
      </c>
    </row>
    <row r="210">
      <c r="AD210" t="n">
        <v>205</v>
      </c>
      <c r="AE210" t="e">
        <f>IF(205&gt;$AB$5,NA(),INDEX('Diario'!$AK$5:$AK$504,MATCH(205,'Diario'!$AQ$5:$AQ$504,0)))</f>
        <v>#N/A</v>
      </c>
    </row>
    <row r="211">
      <c r="AD211" t="n">
        <v>206</v>
      </c>
      <c r="AE211" t="e">
        <f>IF(206&gt;$AB$5,NA(),INDEX('Diario'!$AK$5:$AK$504,MATCH(206,'Diario'!$AQ$5:$AQ$504,0)))</f>
        <v>#N/A</v>
      </c>
    </row>
    <row r="212">
      <c r="AD212" t="n">
        <v>207</v>
      </c>
      <c r="AE212" t="e">
        <f>IF(207&gt;$AB$5,NA(),INDEX('Diario'!$AK$5:$AK$504,MATCH(207,'Diario'!$AQ$5:$AQ$504,0)))</f>
        <v>#N/A</v>
      </c>
    </row>
    <row r="213">
      <c r="AD213" t="n">
        <v>208</v>
      </c>
      <c r="AE213" t="e">
        <f>IF(208&gt;$AB$5,NA(),INDEX('Diario'!$AK$5:$AK$504,MATCH(208,'Diario'!$AQ$5:$AQ$504,0)))</f>
        <v>#N/A</v>
      </c>
    </row>
    <row r="214">
      <c r="AD214" t="n">
        <v>209</v>
      </c>
      <c r="AE214" t="e">
        <f>IF(209&gt;$AB$5,NA(),INDEX('Diario'!$AK$5:$AK$504,MATCH(209,'Diario'!$AQ$5:$AQ$504,0)))</f>
        <v>#N/A</v>
      </c>
    </row>
    <row r="215">
      <c r="AD215" t="n">
        <v>210</v>
      </c>
      <c r="AE215" t="e">
        <f>IF(210&gt;$AB$5,NA(),INDEX('Diario'!$AK$5:$AK$504,MATCH(210,'Diario'!$AQ$5:$AQ$504,0)))</f>
        <v>#N/A</v>
      </c>
    </row>
    <row r="216">
      <c r="AD216" t="n">
        <v>211</v>
      </c>
      <c r="AE216" t="e">
        <f>IF(211&gt;$AB$5,NA(),INDEX('Diario'!$AK$5:$AK$504,MATCH(211,'Diario'!$AQ$5:$AQ$504,0)))</f>
        <v>#N/A</v>
      </c>
    </row>
    <row r="217">
      <c r="AD217" t="n">
        <v>212</v>
      </c>
      <c r="AE217" t="e">
        <f>IF(212&gt;$AB$5,NA(),INDEX('Diario'!$AK$5:$AK$504,MATCH(212,'Diario'!$AQ$5:$AQ$504,0)))</f>
        <v>#N/A</v>
      </c>
    </row>
    <row r="218">
      <c r="AD218" t="n">
        <v>213</v>
      </c>
      <c r="AE218" t="e">
        <f>IF(213&gt;$AB$5,NA(),INDEX('Diario'!$AK$5:$AK$504,MATCH(213,'Diario'!$AQ$5:$AQ$504,0)))</f>
        <v>#N/A</v>
      </c>
    </row>
    <row r="219">
      <c r="AD219" t="n">
        <v>214</v>
      </c>
      <c r="AE219" t="e">
        <f>IF(214&gt;$AB$5,NA(),INDEX('Diario'!$AK$5:$AK$504,MATCH(214,'Diario'!$AQ$5:$AQ$504,0)))</f>
        <v>#N/A</v>
      </c>
    </row>
    <row r="220">
      <c r="AD220" t="n">
        <v>215</v>
      </c>
      <c r="AE220" t="e">
        <f>IF(215&gt;$AB$5,NA(),INDEX('Diario'!$AK$5:$AK$504,MATCH(215,'Diario'!$AQ$5:$AQ$504,0)))</f>
        <v>#N/A</v>
      </c>
    </row>
    <row r="221">
      <c r="AD221" t="n">
        <v>216</v>
      </c>
      <c r="AE221" t="e">
        <f>IF(216&gt;$AB$5,NA(),INDEX('Diario'!$AK$5:$AK$504,MATCH(216,'Diario'!$AQ$5:$AQ$504,0)))</f>
        <v>#N/A</v>
      </c>
    </row>
    <row r="222">
      <c r="AD222" t="n">
        <v>217</v>
      </c>
      <c r="AE222" t="e">
        <f>IF(217&gt;$AB$5,NA(),INDEX('Diario'!$AK$5:$AK$504,MATCH(217,'Diario'!$AQ$5:$AQ$504,0)))</f>
        <v>#N/A</v>
      </c>
    </row>
    <row r="223">
      <c r="AD223" t="n">
        <v>218</v>
      </c>
      <c r="AE223" t="e">
        <f>IF(218&gt;$AB$5,NA(),INDEX('Diario'!$AK$5:$AK$504,MATCH(218,'Diario'!$AQ$5:$AQ$504,0)))</f>
        <v>#N/A</v>
      </c>
    </row>
    <row r="224">
      <c r="AD224" t="n">
        <v>219</v>
      </c>
      <c r="AE224" t="e">
        <f>IF(219&gt;$AB$5,NA(),INDEX('Diario'!$AK$5:$AK$504,MATCH(219,'Diario'!$AQ$5:$AQ$504,0)))</f>
        <v>#N/A</v>
      </c>
    </row>
    <row r="225">
      <c r="AD225" t="n">
        <v>220</v>
      </c>
      <c r="AE225" t="e">
        <f>IF(220&gt;$AB$5,NA(),INDEX('Diario'!$AK$5:$AK$504,MATCH(220,'Diario'!$AQ$5:$AQ$504,0)))</f>
        <v>#N/A</v>
      </c>
    </row>
    <row r="226">
      <c r="AD226" t="n">
        <v>221</v>
      </c>
      <c r="AE226" t="e">
        <f>IF(221&gt;$AB$5,NA(),INDEX('Diario'!$AK$5:$AK$504,MATCH(221,'Diario'!$AQ$5:$AQ$504,0)))</f>
        <v>#N/A</v>
      </c>
    </row>
    <row r="227">
      <c r="AD227" t="n">
        <v>222</v>
      </c>
      <c r="AE227" t="e">
        <f>IF(222&gt;$AB$5,NA(),INDEX('Diario'!$AK$5:$AK$504,MATCH(222,'Diario'!$AQ$5:$AQ$504,0)))</f>
        <v>#N/A</v>
      </c>
    </row>
    <row r="228">
      <c r="AD228" t="n">
        <v>223</v>
      </c>
      <c r="AE228" t="e">
        <f>IF(223&gt;$AB$5,NA(),INDEX('Diario'!$AK$5:$AK$504,MATCH(223,'Diario'!$AQ$5:$AQ$504,0)))</f>
        <v>#N/A</v>
      </c>
    </row>
    <row r="229">
      <c r="AD229" t="n">
        <v>224</v>
      </c>
      <c r="AE229" t="e">
        <f>IF(224&gt;$AB$5,NA(),INDEX('Diario'!$AK$5:$AK$504,MATCH(224,'Diario'!$AQ$5:$AQ$504,0)))</f>
        <v>#N/A</v>
      </c>
    </row>
    <row r="230">
      <c r="AD230" t="n">
        <v>225</v>
      </c>
      <c r="AE230" t="e">
        <f>IF(225&gt;$AB$5,NA(),INDEX('Diario'!$AK$5:$AK$504,MATCH(225,'Diario'!$AQ$5:$AQ$504,0)))</f>
        <v>#N/A</v>
      </c>
    </row>
    <row r="231">
      <c r="AD231" t="n">
        <v>226</v>
      </c>
      <c r="AE231" t="e">
        <f>IF(226&gt;$AB$5,NA(),INDEX('Diario'!$AK$5:$AK$504,MATCH(226,'Diario'!$AQ$5:$AQ$504,0)))</f>
        <v>#N/A</v>
      </c>
    </row>
    <row r="232">
      <c r="AD232" t="n">
        <v>227</v>
      </c>
      <c r="AE232" t="e">
        <f>IF(227&gt;$AB$5,NA(),INDEX('Diario'!$AK$5:$AK$504,MATCH(227,'Diario'!$AQ$5:$AQ$504,0)))</f>
        <v>#N/A</v>
      </c>
    </row>
    <row r="233">
      <c r="AD233" t="n">
        <v>228</v>
      </c>
      <c r="AE233" t="e">
        <f>IF(228&gt;$AB$5,NA(),INDEX('Diario'!$AK$5:$AK$504,MATCH(228,'Diario'!$AQ$5:$AQ$504,0)))</f>
        <v>#N/A</v>
      </c>
    </row>
    <row r="234">
      <c r="AD234" t="n">
        <v>229</v>
      </c>
      <c r="AE234" t="e">
        <f>IF(229&gt;$AB$5,NA(),INDEX('Diario'!$AK$5:$AK$504,MATCH(229,'Diario'!$AQ$5:$AQ$504,0)))</f>
        <v>#N/A</v>
      </c>
    </row>
    <row r="235">
      <c r="AD235" t="n">
        <v>230</v>
      </c>
      <c r="AE235" t="e">
        <f>IF(230&gt;$AB$5,NA(),INDEX('Diario'!$AK$5:$AK$504,MATCH(230,'Diario'!$AQ$5:$AQ$504,0)))</f>
        <v>#N/A</v>
      </c>
    </row>
    <row r="236">
      <c r="AD236" t="n">
        <v>231</v>
      </c>
      <c r="AE236" t="e">
        <f>IF(231&gt;$AB$5,NA(),INDEX('Diario'!$AK$5:$AK$504,MATCH(231,'Diario'!$AQ$5:$AQ$504,0)))</f>
        <v>#N/A</v>
      </c>
    </row>
    <row r="237">
      <c r="AD237" t="n">
        <v>232</v>
      </c>
      <c r="AE237" t="e">
        <f>IF(232&gt;$AB$5,NA(),INDEX('Diario'!$AK$5:$AK$504,MATCH(232,'Diario'!$AQ$5:$AQ$504,0)))</f>
        <v>#N/A</v>
      </c>
    </row>
    <row r="238">
      <c r="AD238" t="n">
        <v>233</v>
      </c>
      <c r="AE238" t="e">
        <f>IF(233&gt;$AB$5,NA(),INDEX('Diario'!$AK$5:$AK$504,MATCH(233,'Diario'!$AQ$5:$AQ$504,0)))</f>
        <v>#N/A</v>
      </c>
    </row>
    <row r="239">
      <c r="AD239" t="n">
        <v>234</v>
      </c>
      <c r="AE239" t="e">
        <f>IF(234&gt;$AB$5,NA(),INDEX('Diario'!$AK$5:$AK$504,MATCH(234,'Diario'!$AQ$5:$AQ$504,0)))</f>
        <v>#N/A</v>
      </c>
    </row>
    <row r="240">
      <c r="AD240" t="n">
        <v>235</v>
      </c>
      <c r="AE240" t="e">
        <f>IF(235&gt;$AB$5,NA(),INDEX('Diario'!$AK$5:$AK$504,MATCH(235,'Diario'!$AQ$5:$AQ$504,0)))</f>
        <v>#N/A</v>
      </c>
    </row>
    <row r="241">
      <c r="AD241" t="n">
        <v>236</v>
      </c>
      <c r="AE241" t="e">
        <f>IF(236&gt;$AB$5,NA(),INDEX('Diario'!$AK$5:$AK$504,MATCH(236,'Diario'!$AQ$5:$AQ$504,0)))</f>
        <v>#N/A</v>
      </c>
    </row>
    <row r="242">
      <c r="AD242" t="n">
        <v>237</v>
      </c>
      <c r="AE242" t="e">
        <f>IF(237&gt;$AB$5,NA(),INDEX('Diario'!$AK$5:$AK$504,MATCH(237,'Diario'!$AQ$5:$AQ$504,0)))</f>
        <v>#N/A</v>
      </c>
    </row>
    <row r="243">
      <c r="AD243" t="n">
        <v>238</v>
      </c>
      <c r="AE243" t="e">
        <f>IF(238&gt;$AB$5,NA(),INDEX('Diario'!$AK$5:$AK$504,MATCH(238,'Diario'!$AQ$5:$AQ$504,0)))</f>
        <v>#N/A</v>
      </c>
    </row>
    <row r="244">
      <c r="AD244" t="n">
        <v>239</v>
      </c>
      <c r="AE244" t="e">
        <f>IF(239&gt;$AB$5,NA(),INDEX('Diario'!$AK$5:$AK$504,MATCH(239,'Diario'!$AQ$5:$AQ$504,0)))</f>
        <v>#N/A</v>
      </c>
    </row>
    <row r="245">
      <c r="AD245" t="n">
        <v>240</v>
      </c>
      <c r="AE245" t="e">
        <f>IF(240&gt;$AB$5,NA(),INDEX('Diario'!$AK$5:$AK$504,MATCH(240,'Diario'!$AQ$5:$AQ$504,0)))</f>
        <v>#N/A</v>
      </c>
    </row>
    <row r="246">
      <c r="AD246" t="n">
        <v>241</v>
      </c>
      <c r="AE246" t="e">
        <f>IF(241&gt;$AB$5,NA(),INDEX('Diario'!$AK$5:$AK$504,MATCH(241,'Diario'!$AQ$5:$AQ$504,0)))</f>
        <v>#N/A</v>
      </c>
    </row>
    <row r="247">
      <c r="AD247" t="n">
        <v>242</v>
      </c>
      <c r="AE247" t="e">
        <f>IF(242&gt;$AB$5,NA(),INDEX('Diario'!$AK$5:$AK$504,MATCH(242,'Diario'!$AQ$5:$AQ$504,0)))</f>
        <v>#N/A</v>
      </c>
    </row>
    <row r="248">
      <c r="AD248" t="n">
        <v>243</v>
      </c>
      <c r="AE248" t="e">
        <f>IF(243&gt;$AB$5,NA(),INDEX('Diario'!$AK$5:$AK$504,MATCH(243,'Diario'!$AQ$5:$AQ$504,0)))</f>
        <v>#N/A</v>
      </c>
    </row>
    <row r="249">
      <c r="AD249" t="n">
        <v>244</v>
      </c>
      <c r="AE249" t="e">
        <f>IF(244&gt;$AB$5,NA(),INDEX('Diario'!$AK$5:$AK$504,MATCH(244,'Diario'!$AQ$5:$AQ$504,0)))</f>
        <v>#N/A</v>
      </c>
    </row>
    <row r="250">
      <c r="AD250" t="n">
        <v>245</v>
      </c>
      <c r="AE250" t="e">
        <f>IF(245&gt;$AB$5,NA(),INDEX('Diario'!$AK$5:$AK$504,MATCH(245,'Diario'!$AQ$5:$AQ$504,0)))</f>
        <v>#N/A</v>
      </c>
    </row>
    <row r="251">
      <c r="AD251" t="n">
        <v>246</v>
      </c>
      <c r="AE251" t="e">
        <f>IF(246&gt;$AB$5,NA(),INDEX('Diario'!$AK$5:$AK$504,MATCH(246,'Diario'!$AQ$5:$AQ$504,0)))</f>
        <v>#N/A</v>
      </c>
    </row>
    <row r="252">
      <c r="AD252" t="n">
        <v>247</v>
      </c>
      <c r="AE252" t="e">
        <f>IF(247&gt;$AB$5,NA(),INDEX('Diario'!$AK$5:$AK$504,MATCH(247,'Diario'!$AQ$5:$AQ$504,0)))</f>
        <v>#N/A</v>
      </c>
    </row>
    <row r="253">
      <c r="AD253" t="n">
        <v>248</v>
      </c>
      <c r="AE253" t="e">
        <f>IF(248&gt;$AB$5,NA(),INDEX('Diario'!$AK$5:$AK$504,MATCH(248,'Diario'!$AQ$5:$AQ$504,0)))</f>
        <v>#N/A</v>
      </c>
    </row>
    <row r="254">
      <c r="AD254" t="n">
        <v>249</v>
      </c>
      <c r="AE254" t="e">
        <f>IF(249&gt;$AB$5,NA(),INDEX('Diario'!$AK$5:$AK$504,MATCH(249,'Diario'!$AQ$5:$AQ$504,0)))</f>
        <v>#N/A</v>
      </c>
    </row>
    <row r="255">
      <c r="AD255" t="n">
        <v>250</v>
      </c>
      <c r="AE255" t="e">
        <f>IF(250&gt;$AB$5,NA(),INDEX('Diario'!$AK$5:$AK$504,MATCH(250,'Diario'!$AQ$5:$AQ$504,0)))</f>
        <v>#N/A</v>
      </c>
    </row>
    <row r="256">
      <c r="AD256" t="n">
        <v>251</v>
      </c>
      <c r="AE256" t="e">
        <f>IF(251&gt;$AB$5,NA(),INDEX('Diario'!$AK$5:$AK$504,MATCH(251,'Diario'!$AQ$5:$AQ$504,0)))</f>
        <v>#N/A</v>
      </c>
    </row>
    <row r="257">
      <c r="AD257" t="n">
        <v>252</v>
      </c>
      <c r="AE257" t="e">
        <f>IF(252&gt;$AB$5,NA(),INDEX('Diario'!$AK$5:$AK$504,MATCH(252,'Diario'!$AQ$5:$AQ$504,0)))</f>
        <v>#N/A</v>
      </c>
    </row>
    <row r="258">
      <c r="AD258" t="n">
        <v>253</v>
      </c>
      <c r="AE258" t="e">
        <f>IF(253&gt;$AB$5,NA(),INDEX('Diario'!$AK$5:$AK$504,MATCH(253,'Diario'!$AQ$5:$AQ$504,0)))</f>
        <v>#N/A</v>
      </c>
    </row>
    <row r="259">
      <c r="AD259" t="n">
        <v>254</v>
      </c>
      <c r="AE259" t="e">
        <f>IF(254&gt;$AB$5,NA(),INDEX('Diario'!$AK$5:$AK$504,MATCH(254,'Diario'!$AQ$5:$AQ$504,0)))</f>
        <v>#N/A</v>
      </c>
    </row>
    <row r="260">
      <c r="AD260" t="n">
        <v>255</v>
      </c>
      <c r="AE260" t="e">
        <f>IF(255&gt;$AB$5,NA(),INDEX('Diario'!$AK$5:$AK$504,MATCH(255,'Diario'!$AQ$5:$AQ$504,0)))</f>
        <v>#N/A</v>
      </c>
    </row>
    <row r="261">
      <c r="AD261" t="n">
        <v>256</v>
      </c>
      <c r="AE261" t="e">
        <f>IF(256&gt;$AB$5,NA(),INDEX('Diario'!$AK$5:$AK$504,MATCH(256,'Diario'!$AQ$5:$AQ$504,0)))</f>
        <v>#N/A</v>
      </c>
    </row>
    <row r="262">
      <c r="AD262" t="n">
        <v>257</v>
      </c>
      <c r="AE262" t="e">
        <f>IF(257&gt;$AB$5,NA(),INDEX('Diario'!$AK$5:$AK$504,MATCH(257,'Diario'!$AQ$5:$AQ$504,0)))</f>
        <v>#N/A</v>
      </c>
    </row>
    <row r="263">
      <c r="AD263" t="n">
        <v>258</v>
      </c>
      <c r="AE263" t="e">
        <f>IF(258&gt;$AB$5,NA(),INDEX('Diario'!$AK$5:$AK$504,MATCH(258,'Diario'!$AQ$5:$AQ$504,0)))</f>
        <v>#N/A</v>
      </c>
    </row>
    <row r="264">
      <c r="AD264" t="n">
        <v>259</v>
      </c>
      <c r="AE264" t="e">
        <f>IF(259&gt;$AB$5,NA(),INDEX('Diario'!$AK$5:$AK$504,MATCH(259,'Diario'!$AQ$5:$AQ$504,0)))</f>
        <v>#N/A</v>
      </c>
    </row>
    <row r="265">
      <c r="AD265" t="n">
        <v>260</v>
      </c>
      <c r="AE265" t="e">
        <f>IF(260&gt;$AB$5,NA(),INDEX('Diario'!$AK$5:$AK$504,MATCH(260,'Diario'!$AQ$5:$AQ$504,0)))</f>
        <v>#N/A</v>
      </c>
    </row>
    <row r="266">
      <c r="AD266" t="n">
        <v>261</v>
      </c>
      <c r="AE266" t="e">
        <f>IF(261&gt;$AB$5,NA(),INDEX('Diario'!$AK$5:$AK$504,MATCH(261,'Diario'!$AQ$5:$AQ$504,0)))</f>
        <v>#N/A</v>
      </c>
    </row>
    <row r="267">
      <c r="AD267" t="n">
        <v>262</v>
      </c>
      <c r="AE267" t="e">
        <f>IF(262&gt;$AB$5,NA(),INDEX('Diario'!$AK$5:$AK$504,MATCH(262,'Diario'!$AQ$5:$AQ$504,0)))</f>
        <v>#N/A</v>
      </c>
    </row>
    <row r="268">
      <c r="AD268" t="n">
        <v>263</v>
      </c>
      <c r="AE268" t="e">
        <f>IF(263&gt;$AB$5,NA(),INDEX('Diario'!$AK$5:$AK$504,MATCH(263,'Diario'!$AQ$5:$AQ$504,0)))</f>
        <v>#N/A</v>
      </c>
    </row>
    <row r="269">
      <c r="AD269" t="n">
        <v>264</v>
      </c>
      <c r="AE269" t="e">
        <f>IF(264&gt;$AB$5,NA(),INDEX('Diario'!$AK$5:$AK$504,MATCH(264,'Diario'!$AQ$5:$AQ$504,0)))</f>
        <v>#N/A</v>
      </c>
    </row>
    <row r="270">
      <c r="AD270" t="n">
        <v>265</v>
      </c>
      <c r="AE270" t="e">
        <f>IF(265&gt;$AB$5,NA(),INDEX('Diario'!$AK$5:$AK$504,MATCH(265,'Diario'!$AQ$5:$AQ$504,0)))</f>
        <v>#N/A</v>
      </c>
    </row>
    <row r="271">
      <c r="AD271" t="n">
        <v>266</v>
      </c>
      <c r="AE271" t="e">
        <f>IF(266&gt;$AB$5,NA(),INDEX('Diario'!$AK$5:$AK$504,MATCH(266,'Diario'!$AQ$5:$AQ$504,0)))</f>
        <v>#N/A</v>
      </c>
    </row>
    <row r="272">
      <c r="AD272" t="n">
        <v>267</v>
      </c>
      <c r="AE272" t="e">
        <f>IF(267&gt;$AB$5,NA(),INDEX('Diario'!$AK$5:$AK$504,MATCH(267,'Diario'!$AQ$5:$AQ$504,0)))</f>
        <v>#N/A</v>
      </c>
    </row>
    <row r="273">
      <c r="AD273" t="n">
        <v>268</v>
      </c>
      <c r="AE273" t="e">
        <f>IF(268&gt;$AB$5,NA(),INDEX('Diario'!$AK$5:$AK$504,MATCH(268,'Diario'!$AQ$5:$AQ$504,0)))</f>
        <v>#N/A</v>
      </c>
    </row>
    <row r="274">
      <c r="AD274" t="n">
        <v>269</v>
      </c>
      <c r="AE274" t="e">
        <f>IF(269&gt;$AB$5,NA(),INDEX('Diario'!$AK$5:$AK$504,MATCH(269,'Diario'!$AQ$5:$AQ$504,0)))</f>
        <v>#N/A</v>
      </c>
    </row>
    <row r="275">
      <c r="AD275" t="n">
        <v>270</v>
      </c>
      <c r="AE275" t="e">
        <f>IF(270&gt;$AB$5,NA(),INDEX('Diario'!$AK$5:$AK$504,MATCH(270,'Diario'!$AQ$5:$AQ$504,0)))</f>
        <v>#N/A</v>
      </c>
    </row>
    <row r="276">
      <c r="AD276" t="n">
        <v>271</v>
      </c>
      <c r="AE276" t="e">
        <f>IF(271&gt;$AB$5,NA(),INDEX('Diario'!$AK$5:$AK$504,MATCH(271,'Diario'!$AQ$5:$AQ$504,0)))</f>
        <v>#N/A</v>
      </c>
    </row>
    <row r="277">
      <c r="AD277" t="n">
        <v>272</v>
      </c>
      <c r="AE277" t="e">
        <f>IF(272&gt;$AB$5,NA(),INDEX('Diario'!$AK$5:$AK$504,MATCH(272,'Diario'!$AQ$5:$AQ$504,0)))</f>
        <v>#N/A</v>
      </c>
    </row>
    <row r="278">
      <c r="AD278" t="n">
        <v>273</v>
      </c>
      <c r="AE278" t="e">
        <f>IF(273&gt;$AB$5,NA(),INDEX('Diario'!$AK$5:$AK$504,MATCH(273,'Diario'!$AQ$5:$AQ$504,0)))</f>
        <v>#N/A</v>
      </c>
    </row>
    <row r="279">
      <c r="AD279" t="n">
        <v>274</v>
      </c>
      <c r="AE279" t="e">
        <f>IF(274&gt;$AB$5,NA(),INDEX('Diario'!$AK$5:$AK$504,MATCH(274,'Diario'!$AQ$5:$AQ$504,0)))</f>
        <v>#N/A</v>
      </c>
    </row>
    <row r="280">
      <c r="AD280" t="n">
        <v>275</v>
      </c>
      <c r="AE280" t="e">
        <f>IF(275&gt;$AB$5,NA(),INDEX('Diario'!$AK$5:$AK$504,MATCH(275,'Diario'!$AQ$5:$AQ$504,0)))</f>
        <v>#N/A</v>
      </c>
    </row>
    <row r="281">
      <c r="AD281" t="n">
        <v>276</v>
      </c>
      <c r="AE281" t="e">
        <f>IF(276&gt;$AB$5,NA(),INDEX('Diario'!$AK$5:$AK$504,MATCH(276,'Diario'!$AQ$5:$AQ$504,0)))</f>
        <v>#N/A</v>
      </c>
    </row>
    <row r="282">
      <c r="AD282" t="n">
        <v>277</v>
      </c>
      <c r="AE282" t="e">
        <f>IF(277&gt;$AB$5,NA(),INDEX('Diario'!$AK$5:$AK$504,MATCH(277,'Diario'!$AQ$5:$AQ$504,0)))</f>
        <v>#N/A</v>
      </c>
    </row>
    <row r="283">
      <c r="AD283" t="n">
        <v>278</v>
      </c>
      <c r="AE283" t="e">
        <f>IF(278&gt;$AB$5,NA(),INDEX('Diario'!$AK$5:$AK$504,MATCH(278,'Diario'!$AQ$5:$AQ$504,0)))</f>
        <v>#N/A</v>
      </c>
    </row>
    <row r="284">
      <c r="AD284" t="n">
        <v>279</v>
      </c>
      <c r="AE284" t="e">
        <f>IF(279&gt;$AB$5,NA(),INDEX('Diario'!$AK$5:$AK$504,MATCH(279,'Diario'!$AQ$5:$AQ$504,0)))</f>
        <v>#N/A</v>
      </c>
    </row>
    <row r="285">
      <c r="AD285" t="n">
        <v>280</v>
      </c>
      <c r="AE285" t="e">
        <f>IF(280&gt;$AB$5,NA(),INDEX('Diario'!$AK$5:$AK$504,MATCH(280,'Diario'!$AQ$5:$AQ$504,0)))</f>
        <v>#N/A</v>
      </c>
    </row>
    <row r="286">
      <c r="AD286" t="n">
        <v>281</v>
      </c>
      <c r="AE286" t="e">
        <f>IF(281&gt;$AB$5,NA(),INDEX('Diario'!$AK$5:$AK$504,MATCH(281,'Diario'!$AQ$5:$AQ$504,0)))</f>
        <v>#N/A</v>
      </c>
    </row>
    <row r="287">
      <c r="AD287" t="n">
        <v>282</v>
      </c>
      <c r="AE287" t="e">
        <f>IF(282&gt;$AB$5,NA(),INDEX('Diario'!$AK$5:$AK$504,MATCH(282,'Diario'!$AQ$5:$AQ$504,0)))</f>
        <v>#N/A</v>
      </c>
    </row>
    <row r="288">
      <c r="AD288" t="n">
        <v>283</v>
      </c>
      <c r="AE288" t="e">
        <f>IF(283&gt;$AB$5,NA(),INDEX('Diario'!$AK$5:$AK$504,MATCH(283,'Diario'!$AQ$5:$AQ$504,0)))</f>
        <v>#N/A</v>
      </c>
    </row>
    <row r="289">
      <c r="AD289" t="n">
        <v>284</v>
      </c>
      <c r="AE289" t="e">
        <f>IF(284&gt;$AB$5,NA(),INDEX('Diario'!$AK$5:$AK$504,MATCH(284,'Diario'!$AQ$5:$AQ$504,0)))</f>
        <v>#N/A</v>
      </c>
    </row>
    <row r="290">
      <c r="AD290" t="n">
        <v>285</v>
      </c>
      <c r="AE290" t="e">
        <f>IF(285&gt;$AB$5,NA(),INDEX('Diario'!$AK$5:$AK$504,MATCH(285,'Diario'!$AQ$5:$AQ$504,0)))</f>
        <v>#N/A</v>
      </c>
    </row>
    <row r="291">
      <c r="AD291" t="n">
        <v>286</v>
      </c>
      <c r="AE291" t="e">
        <f>IF(286&gt;$AB$5,NA(),INDEX('Diario'!$AK$5:$AK$504,MATCH(286,'Diario'!$AQ$5:$AQ$504,0)))</f>
        <v>#N/A</v>
      </c>
    </row>
    <row r="292">
      <c r="AD292" t="n">
        <v>287</v>
      </c>
      <c r="AE292" t="e">
        <f>IF(287&gt;$AB$5,NA(),INDEX('Diario'!$AK$5:$AK$504,MATCH(287,'Diario'!$AQ$5:$AQ$504,0)))</f>
        <v>#N/A</v>
      </c>
    </row>
    <row r="293">
      <c r="AD293" t="n">
        <v>288</v>
      </c>
      <c r="AE293" t="e">
        <f>IF(288&gt;$AB$5,NA(),INDEX('Diario'!$AK$5:$AK$504,MATCH(288,'Diario'!$AQ$5:$AQ$504,0)))</f>
        <v>#N/A</v>
      </c>
    </row>
    <row r="294">
      <c r="AD294" t="n">
        <v>289</v>
      </c>
      <c r="AE294" t="e">
        <f>IF(289&gt;$AB$5,NA(),INDEX('Diario'!$AK$5:$AK$504,MATCH(289,'Diario'!$AQ$5:$AQ$504,0)))</f>
        <v>#N/A</v>
      </c>
    </row>
    <row r="295">
      <c r="AD295" t="n">
        <v>290</v>
      </c>
      <c r="AE295" t="e">
        <f>IF(290&gt;$AB$5,NA(),INDEX('Diario'!$AK$5:$AK$504,MATCH(290,'Diario'!$AQ$5:$AQ$504,0)))</f>
        <v>#N/A</v>
      </c>
    </row>
    <row r="296">
      <c r="AD296" t="n">
        <v>291</v>
      </c>
      <c r="AE296" t="e">
        <f>IF(291&gt;$AB$5,NA(),INDEX('Diario'!$AK$5:$AK$504,MATCH(291,'Diario'!$AQ$5:$AQ$504,0)))</f>
        <v>#N/A</v>
      </c>
    </row>
    <row r="297">
      <c r="AD297" t="n">
        <v>292</v>
      </c>
      <c r="AE297" t="e">
        <f>IF(292&gt;$AB$5,NA(),INDEX('Diario'!$AK$5:$AK$504,MATCH(292,'Diario'!$AQ$5:$AQ$504,0)))</f>
        <v>#N/A</v>
      </c>
    </row>
    <row r="298">
      <c r="AD298" t="n">
        <v>293</v>
      </c>
      <c r="AE298" t="e">
        <f>IF(293&gt;$AB$5,NA(),INDEX('Diario'!$AK$5:$AK$504,MATCH(293,'Diario'!$AQ$5:$AQ$504,0)))</f>
        <v>#N/A</v>
      </c>
    </row>
    <row r="299">
      <c r="AD299" t="n">
        <v>294</v>
      </c>
      <c r="AE299" t="e">
        <f>IF(294&gt;$AB$5,NA(),INDEX('Diario'!$AK$5:$AK$504,MATCH(294,'Diario'!$AQ$5:$AQ$504,0)))</f>
        <v>#N/A</v>
      </c>
    </row>
    <row r="300">
      <c r="AD300" t="n">
        <v>295</v>
      </c>
      <c r="AE300" t="e">
        <f>IF(295&gt;$AB$5,NA(),INDEX('Diario'!$AK$5:$AK$504,MATCH(295,'Diario'!$AQ$5:$AQ$504,0)))</f>
        <v>#N/A</v>
      </c>
    </row>
    <row r="301">
      <c r="AD301" t="n">
        <v>296</v>
      </c>
      <c r="AE301" t="e">
        <f>IF(296&gt;$AB$5,NA(),INDEX('Diario'!$AK$5:$AK$504,MATCH(296,'Diario'!$AQ$5:$AQ$504,0)))</f>
        <v>#N/A</v>
      </c>
    </row>
    <row r="302">
      <c r="AD302" t="n">
        <v>297</v>
      </c>
      <c r="AE302" t="e">
        <f>IF(297&gt;$AB$5,NA(),INDEX('Diario'!$AK$5:$AK$504,MATCH(297,'Diario'!$AQ$5:$AQ$504,0)))</f>
        <v>#N/A</v>
      </c>
    </row>
    <row r="303">
      <c r="AD303" t="n">
        <v>298</v>
      </c>
      <c r="AE303" t="e">
        <f>IF(298&gt;$AB$5,NA(),INDEX('Diario'!$AK$5:$AK$504,MATCH(298,'Diario'!$AQ$5:$AQ$504,0)))</f>
        <v>#N/A</v>
      </c>
    </row>
    <row r="304">
      <c r="AD304" t="n">
        <v>299</v>
      </c>
      <c r="AE304" t="e">
        <f>IF(299&gt;$AB$5,NA(),INDEX('Diario'!$AK$5:$AK$504,MATCH(299,'Diario'!$AQ$5:$AQ$504,0)))</f>
        <v>#N/A</v>
      </c>
    </row>
    <row r="305">
      <c r="AD305" t="n">
        <v>300</v>
      </c>
      <c r="AE305" t="e">
        <f>IF(300&gt;$AB$5,NA(),INDEX('Diario'!$AK$5:$AK$504,MATCH(300,'Diario'!$AQ$5:$AQ$504,0)))</f>
        <v>#N/A</v>
      </c>
    </row>
    <row r="306">
      <c r="AD306" t="n">
        <v>301</v>
      </c>
      <c r="AE306" t="e">
        <f>IF(301&gt;$AB$5,NA(),INDEX('Diario'!$AK$5:$AK$504,MATCH(301,'Diario'!$AQ$5:$AQ$504,0)))</f>
        <v>#N/A</v>
      </c>
    </row>
    <row r="307">
      <c r="AD307" t="n">
        <v>302</v>
      </c>
      <c r="AE307" t="e">
        <f>IF(302&gt;$AB$5,NA(),INDEX('Diario'!$AK$5:$AK$504,MATCH(302,'Diario'!$AQ$5:$AQ$504,0)))</f>
        <v>#N/A</v>
      </c>
    </row>
    <row r="308">
      <c r="AD308" t="n">
        <v>303</v>
      </c>
      <c r="AE308" t="e">
        <f>IF(303&gt;$AB$5,NA(),INDEX('Diario'!$AK$5:$AK$504,MATCH(303,'Diario'!$AQ$5:$AQ$504,0)))</f>
        <v>#N/A</v>
      </c>
    </row>
    <row r="309">
      <c r="AD309" t="n">
        <v>304</v>
      </c>
      <c r="AE309" t="e">
        <f>IF(304&gt;$AB$5,NA(),INDEX('Diario'!$AK$5:$AK$504,MATCH(304,'Diario'!$AQ$5:$AQ$504,0)))</f>
        <v>#N/A</v>
      </c>
    </row>
    <row r="310">
      <c r="AD310" t="n">
        <v>305</v>
      </c>
      <c r="AE310" t="e">
        <f>IF(305&gt;$AB$5,NA(),INDEX('Diario'!$AK$5:$AK$504,MATCH(305,'Diario'!$AQ$5:$AQ$504,0)))</f>
        <v>#N/A</v>
      </c>
    </row>
    <row r="311">
      <c r="AD311" t="n">
        <v>306</v>
      </c>
      <c r="AE311" t="e">
        <f>IF(306&gt;$AB$5,NA(),INDEX('Diario'!$AK$5:$AK$504,MATCH(306,'Diario'!$AQ$5:$AQ$504,0)))</f>
        <v>#N/A</v>
      </c>
    </row>
    <row r="312">
      <c r="AD312" t="n">
        <v>307</v>
      </c>
      <c r="AE312" t="e">
        <f>IF(307&gt;$AB$5,NA(),INDEX('Diario'!$AK$5:$AK$504,MATCH(307,'Diario'!$AQ$5:$AQ$504,0)))</f>
        <v>#N/A</v>
      </c>
    </row>
    <row r="313">
      <c r="AD313" t="n">
        <v>308</v>
      </c>
      <c r="AE313" t="e">
        <f>IF(308&gt;$AB$5,NA(),INDEX('Diario'!$AK$5:$AK$504,MATCH(308,'Diario'!$AQ$5:$AQ$504,0)))</f>
        <v>#N/A</v>
      </c>
    </row>
    <row r="314">
      <c r="AD314" t="n">
        <v>309</v>
      </c>
      <c r="AE314" t="e">
        <f>IF(309&gt;$AB$5,NA(),INDEX('Diario'!$AK$5:$AK$504,MATCH(309,'Diario'!$AQ$5:$AQ$504,0)))</f>
        <v>#N/A</v>
      </c>
    </row>
    <row r="315">
      <c r="AD315" t="n">
        <v>310</v>
      </c>
      <c r="AE315" t="e">
        <f>IF(310&gt;$AB$5,NA(),INDEX('Diario'!$AK$5:$AK$504,MATCH(310,'Diario'!$AQ$5:$AQ$504,0)))</f>
        <v>#N/A</v>
      </c>
    </row>
    <row r="316">
      <c r="AD316" t="n">
        <v>311</v>
      </c>
      <c r="AE316" t="e">
        <f>IF(311&gt;$AB$5,NA(),INDEX('Diario'!$AK$5:$AK$504,MATCH(311,'Diario'!$AQ$5:$AQ$504,0)))</f>
        <v>#N/A</v>
      </c>
    </row>
    <row r="317">
      <c r="AD317" t="n">
        <v>312</v>
      </c>
      <c r="AE317" t="e">
        <f>IF(312&gt;$AB$5,NA(),INDEX('Diario'!$AK$5:$AK$504,MATCH(312,'Diario'!$AQ$5:$AQ$504,0)))</f>
        <v>#N/A</v>
      </c>
    </row>
    <row r="318">
      <c r="AD318" t="n">
        <v>313</v>
      </c>
      <c r="AE318" t="e">
        <f>IF(313&gt;$AB$5,NA(),INDEX('Diario'!$AK$5:$AK$504,MATCH(313,'Diario'!$AQ$5:$AQ$504,0)))</f>
        <v>#N/A</v>
      </c>
    </row>
    <row r="319">
      <c r="AD319" t="n">
        <v>314</v>
      </c>
      <c r="AE319" t="e">
        <f>IF(314&gt;$AB$5,NA(),INDEX('Diario'!$AK$5:$AK$504,MATCH(314,'Diario'!$AQ$5:$AQ$504,0)))</f>
        <v>#N/A</v>
      </c>
    </row>
    <row r="320">
      <c r="AD320" t="n">
        <v>315</v>
      </c>
      <c r="AE320" t="e">
        <f>IF(315&gt;$AB$5,NA(),INDEX('Diario'!$AK$5:$AK$504,MATCH(315,'Diario'!$AQ$5:$AQ$504,0)))</f>
        <v>#N/A</v>
      </c>
    </row>
    <row r="321">
      <c r="AD321" t="n">
        <v>316</v>
      </c>
      <c r="AE321" t="e">
        <f>IF(316&gt;$AB$5,NA(),INDEX('Diario'!$AK$5:$AK$504,MATCH(316,'Diario'!$AQ$5:$AQ$504,0)))</f>
        <v>#N/A</v>
      </c>
    </row>
    <row r="322">
      <c r="AD322" t="n">
        <v>317</v>
      </c>
      <c r="AE322" t="e">
        <f>IF(317&gt;$AB$5,NA(),INDEX('Diario'!$AK$5:$AK$504,MATCH(317,'Diario'!$AQ$5:$AQ$504,0)))</f>
        <v>#N/A</v>
      </c>
    </row>
    <row r="323">
      <c r="AD323" t="n">
        <v>318</v>
      </c>
      <c r="AE323" t="e">
        <f>IF(318&gt;$AB$5,NA(),INDEX('Diario'!$AK$5:$AK$504,MATCH(318,'Diario'!$AQ$5:$AQ$504,0)))</f>
        <v>#N/A</v>
      </c>
    </row>
    <row r="324">
      <c r="AD324" t="n">
        <v>319</v>
      </c>
      <c r="AE324" t="e">
        <f>IF(319&gt;$AB$5,NA(),INDEX('Diario'!$AK$5:$AK$504,MATCH(319,'Diario'!$AQ$5:$AQ$504,0)))</f>
        <v>#N/A</v>
      </c>
    </row>
    <row r="325">
      <c r="AD325" t="n">
        <v>320</v>
      </c>
      <c r="AE325" t="e">
        <f>IF(320&gt;$AB$5,NA(),INDEX('Diario'!$AK$5:$AK$504,MATCH(320,'Diario'!$AQ$5:$AQ$504,0)))</f>
        <v>#N/A</v>
      </c>
    </row>
    <row r="326">
      <c r="AD326" t="n">
        <v>321</v>
      </c>
      <c r="AE326" t="e">
        <f>IF(321&gt;$AB$5,NA(),INDEX('Diario'!$AK$5:$AK$504,MATCH(321,'Diario'!$AQ$5:$AQ$504,0)))</f>
        <v>#N/A</v>
      </c>
    </row>
    <row r="327">
      <c r="AD327" t="n">
        <v>322</v>
      </c>
      <c r="AE327" t="e">
        <f>IF(322&gt;$AB$5,NA(),INDEX('Diario'!$AK$5:$AK$504,MATCH(322,'Diario'!$AQ$5:$AQ$504,0)))</f>
        <v>#N/A</v>
      </c>
    </row>
    <row r="328">
      <c r="AD328" t="n">
        <v>323</v>
      </c>
      <c r="AE328" t="e">
        <f>IF(323&gt;$AB$5,NA(),INDEX('Diario'!$AK$5:$AK$504,MATCH(323,'Diario'!$AQ$5:$AQ$504,0)))</f>
        <v>#N/A</v>
      </c>
    </row>
    <row r="329">
      <c r="AD329" t="n">
        <v>324</v>
      </c>
      <c r="AE329" t="e">
        <f>IF(324&gt;$AB$5,NA(),INDEX('Diario'!$AK$5:$AK$504,MATCH(324,'Diario'!$AQ$5:$AQ$504,0)))</f>
        <v>#N/A</v>
      </c>
    </row>
    <row r="330">
      <c r="AD330" t="n">
        <v>325</v>
      </c>
      <c r="AE330" t="e">
        <f>IF(325&gt;$AB$5,NA(),INDEX('Diario'!$AK$5:$AK$504,MATCH(325,'Diario'!$AQ$5:$AQ$504,0)))</f>
        <v>#N/A</v>
      </c>
    </row>
    <row r="331">
      <c r="AD331" t="n">
        <v>326</v>
      </c>
      <c r="AE331" t="e">
        <f>IF(326&gt;$AB$5,NA(),INDEX('Diario'!$AK$5:$AK$504,MATCH(326,'Diario'!$AQ$5:$AQ$504,0)))</f>
        <v>#N/A</v>
      </c>
    </row>
    <row r="332">
      <c r="AD332" t="n">
        <v>327</v>
      </c>
      <c r="AE332" t="e">
        <f>IF(327&gt;$AB$5,NA(),INDEX('Diario'!$AK$5:$AK$504,MATCH(327,'Diario'!$AQ$5:$AQ$504,0)))</f>
        <v>#N/A</v>
      </c>
    </row>
    <row r="333">
      <c r="AD333" t="n">
        <v>328</v>
      </c>
      <c r="AE333" t="e">
        <f>IF(328&gt;$AB$5,NA(),INDEX('Diario'!$AK$5:$AK$504,MATCH(328,'Diario'!$AQ$5:$AQ$504,0)))</f>
        <v>#N/A</v>
      </c>
    </row>
    <row r="334">
      <c r="AD334" t="n">
        <v>329</v>
      </c>
      <c r="AE334" t="e">
        <f>IF(329&gt;$AB$5,NA(),INDEX('Diario'!$AK$5:$AK$504,MATCH(329,'Diario'!$AQ$5:$AQ$504,0)))</f>
        <v>#N/A</v>
      </c>
    </row>
    <row r="335">
      <c r="AD335" t="n">
        <v>330</v>
      </c>
      <c r="AE335" t="e">
        <f>IF(330&gt;$AB$5,NA(),INDEX('Diario'!$AK$5:$AK$504,MATCH(330,'Diario'!$AQ$5:$AQ$504,0)))</f>
        <v>#N/A</v>
      </c>
    </row>
    <row r="336">
      <c r="AD336" t="n">
        <v>331</v>
      </c>
      <c r="AE336" t="e">
        <f>IF(331&gt;$AB$5,NA(),INDEX('Diario'!$AK$5:$AK$504,MATCH(331,'Diario'!$AQ$5:$AQ$504,0)))</f>
        <v>#N/A</v>
      </c>
    </row>
    <row r="337">
      <c r="AD337" t="n">
        <v>332</v>
      </c>
      <c r="AE337" t="e">
        <f>IF(332&gt;$AB$5,NA(),INDEX('Diario'!$AK$5:$AK$504,MATCH(332,'Diario'!$AQ$5:$AQ$504,0)))</f>
        <v>#N/A</v>
      </c>
    </row>
    <row r="338">
      <c r="AD338" t="n">
        <v>333</v>
      </c>
      <c r="AE338" t="e">
        <f>IF(333&gt;$AB$5,NA(),INDEX('Diario'!$AK$5:$AK$504,MATCH(333,'Diario'!$AQ$5:$AQ$504,0)))</f>
        <v>#N/A</v>
      </c>
    </row>
    <row r="339">
      <c r="AD339" t="n">
        <v>334</v>
      </c>
      <c r="AE339" t="e">
        <f>IF(334&gt;$AB$5,NA(),INDEX('Diario'!$AK$5:$AK$504,MATCH(334,'Diario'!$AQ$5:$AQ$504,0)))</f>
        <v>#N/A</v>
      </c>
    </row>
    <row r="340">
      <c r="AD340" t="n">
        <v>335</v>
      </c>
      <c r="AE340" t="e">
        <f>IF(335&gt;$AB$5,NA(),INDEX('Diario'!$AK$5:$AK$504,MATCH(335,'Diario'!$AQ$5:$AQ$504,0)))</f>
        <v>#N/A</v>
      </c>
    </row>
    <row r="341">
      <c r="AD341" t="n">
        <v>336</v>
      </c>
      <c r="AE341" t="e">
        <f>IF(336&gt;$AB$5,NA(),INDEX('Diario'!$AK$5:$AK$504,MATCH(336,'Diario'!$AQ$5:$AQ$504,0)))</f>
        <v>#N/A</v>
      </c>
    </row>
    <row r="342">
      <c r="AD342" t="n">
        <v>337</v>
      </c>
      <c r="AE342" t="e">
        <f>IF(337&gt;$AB$5,NA(),INDEX('Diario'!$AK$5:$AK$504,MATCH(337,'Diario'!$AQ$5:$AQ$504,0)))</f>
        <v>#N/A</v>
      </c>
    </row>
    <row r="343">
      <c r="AD343" t="n">
        <v>338</v>
      </c>
      <c r="AE343" t="e">
        <f>IF(338&gt;$AB$5,NA(),INDEX('Diario'!$AK$5:$AK$504,MATCH(338,'Diario'!$AQ$5:$AQ$504,0)))</f>
        <v>#N/A</v>
      </c>
    </row>
    <row r="344">
      <c r="AD344" t="n">
        <v>339</v>
      </c>
      <c r="AE344" t="e">
        <f>IF(339&gt;$AB$5,NA(),INDEX('Diario'!$AK$5:$AK$504,MATCH(339,'Diario'!$AQ$5:$AQ$504,0)))</f>
        <v>#N/A</v>
      </c>
    </row>
    <row r="345">
      <c r="AD345" t="n">
        <v>340</v>
      </c>
      <c r="AE345" t="e">
        <f>IF(340&gt;$AB$5,NA(),INDEX('Diario'!$AK$5:$AK$504,MATCH(340,'Diario'!$AQ$5:$AQ$504,0)))</f>
        <v>#N/A</v>
      </c>
    </row>
    <row r="346">
      <c r="AD346" t="n">
        <v>341</v>
      </c>
      <c r="AE346" t="e">
        <f>IF(341&gt;$AB$5,NA(),INDEX('Diario'!$AK$5:$AK$504,MATCH(341,'Diario'!$AQ$5:$AQ$504,0)))</f>
        <v>#N/A</v>
      </c>
    </row>
    <row r="347">
      <c r="AD347" t="n">
        <v>342</v>
      </c>
      <c r="AE347" t="e">
        <f>IF(342&gt;$AB$5,NA(),INDEX('Diario'!$AK$5:$AK$504,MATCH(342,'Diario'!$AQ$5:$AQ$504,0)))</f>
        <v>#N/A</v>
      </c>
    </row>
    <row r="348">
      <c r="AD348" t="n">
        <v>343</v>
      </c>
      <c r="AE348" t="e">
        <f>IF(343&gt;$AB$5,NA(),INDEX('Diario'!$AK$5:$AK$504,MATCH(343,'Diario'!$AQ$5:$AQ$504,0)))</f>
        <v>#N/A</v>
      </c>
    </row>
    <row r="349">
      <c r="AD349" t="n">
        <v>344</v>
      </c>
      <c r="AE349" t="e">
        <f>IF(344&gt;$AB$5,NA(),INDEX('Diario'!$AK$5:$AK$504,MATCH(344,'Diario'!$AQ$5:$AQ$504,0)))</f>
        <v>#N/A</v>
      </c>
    </row>
    <row r="350">
      <c r="AD350" t="n">
        <v>345</v>
      </c>
      <c r="AE350" t="e">
        <f>IF(345&gt;$AB$5,NA(),INDEX('Diario'!$AK$5:$AK$504,MATCH(345,'Diario'!$AQ$5:$AQ$504,0)))</f>
        <v>#N/A</v>
      </c>
    </row>
    <row r="351">
      <c r="AD351" t="n">
        <v>346</v>
      </c>
      <c r="AE351" t="e">
        <f>IF(346&gt;$AB$5,NA(),INDEX('Diario'!$AK$5:$AK$504,MATCH(346,'Diario'!$AQ$5:$AQ$504,0)))</f>
        <v>#N/A</v>
      </c>
    </row>
    <row r="352">
      <c r="AD352" t="n">
        <v>347</v>
      </c>
      <c r="AE352" t="e">
        <f>IF(347&gt;$AB$5,NA(),INDEX('Diario'!$AK$5:$AK$504,MATCH(347,'Diario'!$AQ$5:$AQ$504,0)))</f>
        <v>#N/A</v>
      </c>
    </row>
    <row r="353">
      <c r="AD353" t="n">
        <v>348</v>
      </c>
      <c r="AE353" t="e">
        <f>IF(348&gt;$AB$5,NA(),INDEX('Diario'!$AK$5:$AK$504,MATCH(348,'Diario'!$AQ$5:$AQ$504,0)))</f>
        <v>#N/A</v>
      </c>
    </row>
    <row r="354">
      <c r="AD354" t="n">
        <v>349</v>
      </c>
      <c r="AE354" t="e">
        <f>IF(349&gt;$AB$5,NA(),INDEX('Diario'!$AK$5:$AK$504,MATCH(349,'Diario'!$AQ$5:$AQ$504,0)))</f>
        <v>#N/A</v>
      </c>
    </row>
    <row r="355">
      <c r="AD355" t="n">
        <v>350</v>
      </c>
      <c r="AE355" t="e">
        <f>IF(350&gt;$AB$5,NA(),INDEX('Diario'!$AK$5:$AK$504,MATCH(350,'Diario'!$AQ$5:$AQ$504,0)))</f>
        <v>#N/A</v>
      </c>
    </row>
    <row r="356">
      <c r="AD356" t="n">
        <v>351</v>
      </c>
      <c r="AE356" t="e">
        <f>IF(351&gt;$AB$5,NA(),INDEX('Diario'!$AK$5:$AK$504,MATCH(351,'Diario'!$AQ$5:$AQ$504,0)))</f>
        <v>#N/A</v>
      </c>
    </row>
    <row r="357">
      <c r="AD357" t="n">
        <v>352</v>
      </c>
      <c r="AE357" t="e">
        <f>IF(352&gt;$AB$5,NA(),INDEX('Diario'!$AK$5:$AK$504,MATCH(352,'Diario'!$AQ$5:$AQ$504,0)))</f>
        <v>#N/A</v>
      </c>
    </row>
    <row r="358">
      <c r="AD358" t="n">
        <v>353</v>
      </c>
      <c r="AE358" t="e">
        <f>IF(353&gt;$AB$5,NA(),INDEX('Diario'!$AK$5:$AK$504,MATCH(353,'Diario'!$AQ$5:$AQ$504,0)))</f>
        <v>#N/A</v>
      </c>
    </row>
    <row r="359">
      <c r="AD359" t="n">
        <v>354</v>
      </c>
      <c r="AE359" t="e">
        <f>IF(354&gt;$AB$5,NA(),INDEX('Diario'!$AK$5:$AK$504,MATCH(354,'Diario'!$AQ$5:$AQ$504,0)))</f>
        <v>#N/A</v>
      </c>
    </row>
    <row r="360">
      <c r="AD360" t="n">
        <v>355</v>
      </c>
      <c r="AE360" t="e">
        <f>IF(355&gt;$AB$5,NA(),INDEX('Diario'!$AK$5:$AK$504,MATCH(355,'Diario'!$AQ$5:$AQ$504,0)))</f>
        <v>#N/A</v>
      </c>
    </row>
    <row r="361">
      <c r="AD361" t="n">
        <v>356</v>
      </c>
      <c r="AE361" t="e">
        <f>IF(356&gt;$AB$5,NA(),INDEX('Diario'!$AK$5:$AK$504,MATCH(356,'Diario'!$AQ$5:$AQ$504,0)))</f>
        <v>#N/A</v>
      </c>
    </row>
    <row r="362">
      <c r="AD362" t="n">
        <v>357</v>
      </c>
      <c r="AE362" t="e">
        <f>IF(357&gt;$AB$5,NA(),INDEX('Diario'!$AK$5:$AK$504,MATCH(357,'Diario'!$AQ$5:$AQ$504,0)))</f>
        <v>#N/A</v>
      </c>
    </row>
    <row r="363">
      <c r="AD363" t="n">
        <v>358</v>
      </c>
      <c r="AE363" t="e">
        <f>IF(358&gt;$AB$5,NA(),INDEX('Diario'!$AK$5:$AK$504,MATCH(358,'Diario'!$AQ$5:$AQ$504,0)))</f>
        <v>#N/A</v>
      </c>
    </row>
    <row r="364">
      <c r="AD364" t="n">
        <v>359</v>
      </c>
      <c r="AE364" t="e">
        <f>IF(359&gt;$AB$5,NA(),INDEX('Diario'!$AK$5:$AK$504,MATCH(359,'Diario'!$AQ$5:$AQ$504,0)))</f>
        <v>#N/A</v>
      </c>
    </row>
    <row r="365">
      <c r="AD365" t="n">
        <v>360</v>
      </c>
      <c r="AE365" t="e">
        <f>IF(360&gt;$AB$5,NA(),INDEX('Diario'!$AK$5:$AK$504,MATCH(360,'Diario'!$AQ$5:$AQ$504,0)))</f>
        <v>#N/A</v>
      </c>
    </row>
    <row r="366">
      <c r="AD366" t="n">
        <v>361</v>
      </c>
      <c r="AE366" t="e">
        <f>IF(361&gt;$AB$5,NA(),INDEX('Diario'!$AK$5:$AK$504,MATCH(361,'Diario'!$AQ$5:$AQ$504,0)))</f>
        <v>#N/A</v>
      </c>
    </row>
    <row r="367">
      <c r="AD367" t="n">
        <v>362</v>
      </c>
      <c r="AE367" t="e">
        <f>IF(362&gt;$AB$5,NA(),INDEX('Diario'!$AK$5:$AK$504,MATCH(362,'Diario'!$AQ$5:$AQ$504,0)))</f>
        <v>#N/A</v>
      </c>
    </row>
    <row r="368">
      <c r="AD368" t="n">
        <v>363</v>
      </c>
      <c r="AE368" t="e">
        <f>IF(363&gt;$AB$5,NA(),INDEX('Diario'!$AK$5:$AK$504,MATCH(363,'Diario'!$AQ$5:$AQ$504,0)))</f>
        <v>#N/A</v>
      </c>
    </row>
    <row r="369">
      <c r="AD369" t="n">
        <v>364</v>
      </c>
      <c r="AE369" t="e">
        <f>IF(364&gt;$AB$5,NA(),INDEX('Diario'!$AK$5:$AK$504,MATCH(364,'Diario'!$AQ$5:$AQ$504,0)))</f>
        <v>#N/A</v>
      </c>
    </row>
    <row r="370">
      <c r="AD370" t="n">
        <v>365</v>
      </c>
      <c r="AE370" t="e">
        <f>IF(365&gt;$AB$5,NA(),INDEX('Diario'!$AK$5:$AK$504,MATCH(365,'Diario'!$AQ$5:$AQ$504,0)))</f>
        <v>#N/A</v>
      </c>
    </row>
    <row r="371">
      <c r="AD371" t="n">
        <v>366</v>
      </c>
      <c r="AE371" t="e">
        <f>IF(366&gt;$AB$5,NA(),INDEX('Diario'!$AK$5:$AK$504,MATCH(366,'Diario'!$AQ$5:$AQ$504,0)))</f>
        <v>#N/A</v>
      </c>
    </row>
    <row r="372">
      <c r="AD372" t="n">
        <v>367</v>
      </c>
      <c r="AE372" t="e">
        <f>IF(367&gt;$AB$5,NA(),INDEX('Diario'!$AK$5:$AK$504,MATCH(367,'Diario'!$AQ$5:$AQ$504,0)))</f>
        <v>#N/A</v>
      </c>
    </row>
    <row r="373">
      <c r="AD373" t="n">
        <v>368</v>
      </c>
      <c r="AE373" t="e">
        <f>IF(368&gt;$AB$5,NA(),INDEX('Diario'!$AK$5:$AK$504,MATCH(368,'Diario'!$AQ$5:$AQ$504,0)))</f>
        <v>#N/A</v>
      </c>
    </row>
    <row r="374">
      <c r="AD374" t="n">
        <v>369</v>
      </c>
      <c r="AE374" t="e">
        <f>IF(369&gt;$AB$5,NA(),INDEX('Diario'!$AK$5:$AK$504,MATCH(369,'Diario'!$AQ$5:$AQ$504,0)))</f>
        <v>#N/A</v>
      </c>
    </row>
    <row r="375">
      <c r="AD375" t="n">
        <v>370</v>
      </c>
      <c r="AE375" t="e">
        <f>IF(370&gt;$AB$5,NA(),INDEX('Diario'!$AK$5:$AK$504,MATCH(370,'Diario'!$AQ$5:$AQ$504,0)))</f>
        <v>#N/A</v>
      </c>
    </row>
    <row r="376">
      <c r="AD376" t="n">
        <v>371</v>
      </c>
      <c r="AE376" t="e">
        <f>IF(371&gt;$AB$5,NA(),INDEX('Diario'!$AK$5:$AK$504,MATCH(371,'Diario'!$AQ$5:$AQ$504,0)))</f>
        <v>#N/A</v>
      </c>
    </row>
    <row r="377">
      <c r="AD377" t="n">
        <v>372</v>
      </c>
      <c r="AE377" t="e">
        <f>IF(372&gt;$AB$5,NA(),INDEX('Diario'!$AK$5:$AK$504,MATCH(372,'Diario'!$AQ$5:$AQ$504,0)))</f>
        <v>#N/A</v>
      </c>
    </row>
    <row r="378">
      <c r="AD378" t="n">
        <v>373</v>
      </c>
      <c r="AE378" t="e">
        <f>IF(373&gt;$AB$5,NA(),INDEX('Diario'!$AK$5:$AK$504,MATCH(373,'Diario'!$AQ$5:$AQ$504,0)))</f>
        <v>#N/A</v>
      </c>
    </row>
    <row r="379">
      <c r="AD379" t="n">
        <v>374</v>
      </c>
      <c r="AE379" t="e">
        <f>IF(374&gt;$AB$5,NA(),INDEX('Diario'!$AK$5:$AK$504,MATCH(374,'Diario'!$AQ$5:$AQ$504,0)))</f>
        <v>#N/A</v>
      </c>
    </row>
    <row r="380">
      <c r="AD380" t="n">
        <v>375</v>
      </c>
      <c r="AE380" t="e">
        <f>IF(375&gt;$AB$5,NA(),INDEX('Diario'!$AK$5:$AK$504,MATCH(375,'Diario'!$AQ$5:$AQ$504,0)))</f>
        <v>#N/A</v>
      </c>
    </row>
    <row r="381">
      <c r="AD381" t="n">
        <v>376</v>
      </c>
      <c r="AE381" t="e">
        <f>IF(376&gt;$AB$5,NA(),INDEX('Diario'!$AK$5:$AK$504,MATCH(376,'Diario'!$AQ$5:$AQ$504,0)))</f>
        <v>#N/A</v>
      </c>
    </row>
    <row r="382">
      <c r="AD382" t="n">
        <v>377</v>
      </c>
      <c r="AE382" t="e">
        <f>IF(377&gt;$AB$5,NA(),INDEX('Diario'!$AK$5:$AK$504,MATCH(377,'Diario'!$AQ$5:$AQ$504,0)))</f>
        <v>#N/A</v>
      </c>
    </row>
    <row r="383">
      <c r="AD383" t="n">
        <v>378</v>
      </c>
      <c r="AE383" t="e">
        <f>IF(378&gt;$AB$5,NA(),INDEX('Diario'!$AK$5:$AK$504,MATCH(378,'Diario'!$AQ$5:$AQ$504,0)))</f>
        <v>#N/A</v>
      </c>
    </row>
    <row r="384">
      <c r="AD384" t="n">
        <v>379</v>
      </c>
      <c r="AE384" t="e">
        <f>IF(379&gt;$AB$5,NA(),INDEX('Diario'!$AK$5:$AK$504,MATCH(379,'Diario'!$AQ$5:$AQ$504,0)))</f>
        <v>#N/A</v>
      </c>
    </row>
    <row r="385">
      <c r="AD385" t="n">
        <v>380</v>
      </c>
      <c r="AE385" t="e">
        <f>IF(380&gt;$AB$5,NA(),INDEX('Diario'!$AK$5:$AK$504,MATCH(380,'Diario'!$AQ$5:$AQ$504,0)))</f>
        <v>#N/A</v>
      </c>
    </row>
    <row r="386">
      <c r="AD386" t="n">
        <v>381</v>
      </c>
      <c r="AE386" t="e">
        <f>IF(381&gt;$AB$5,NA(),INDEX('Diario'!$AK$5:$AK$504,MATCH(381,'Diario'!$AQ$5:$AQ$504,0)))</f>
        <v>#N/A</v>
      </c>
    </row>
    <row r="387">
      <c r="AD387" t="n">
        <v>382</v>
      </c>
      <c r="AE387" t="e">
        <f>IF(382&gt;$AB$5,NA(),INDEX('Diario'!$AK$5:$AK$504,MATCH(382,'Diario'!$AQ$5:$AQ$504,0)))</f>
        <v>#N/A</v>
      </c>
    </row>
    <row r="388">
      <c r="AD388" t="n">
        <v>383</v>
      </c>
      <c r="AE388" t="e">
        <f>IF(383&gt;$AB$5,NA(),INDEX('Diario'!$AK$5:$AK$504,MATCH(383,'Diario'!$AQ$5:$AQ$504,0)))</f>
        <v>#N/A</v>
      </c>
    </row>
    <row r="389">
      <c r="AD389" t="n">
        <v>384</v>
      </c>
      <c r="AE389" t="e">
        <f>IF(384&gt;$AB$5,NA(),INDEX('Diario'!$AK$5:$AK$504,MATCH(384,'Diario'!$AQ$5:$AQ$504,0)))</f>
        <v>#N/A</v>
      </c>
    </row>
    <row r="390">
      <c r="AD390" t="n">
        <v>385</v>
      </c>
      <c r="AE390" t="e">
        <f>IF(385&gt;$AB$5,NA(),INDEX('Diario'!$AK$5:$AK$504,MATCH(385,'Diario'!$AQ$5:$AQ$504,0)))</f>
        <v>#N/A</v>
      </c>
    </row>
    <row r="391">
      <c r="AD391" t="n">
        <v>386</v>
      </c>
      <c r="AE391" t="e">
        <f>IF(386&gt;$AB$5,NA(),INDEX('Diario'!$AK$5:$AK$504,MATCH(386,'Diario'!$AQ$5:$AQ$504,0)))</f>
        <v>#N/A</v>
      </c>
    </row>
    <row r="392">
      <c r="AD392" t="n">
        <v>387</v>
      </c>
      <c r="AE392" t="e">
        <f>IF(387&gt;$AB$5,NA(),INDEX('Diario'!$AK$5:$AK$504,MATCH(387,'Diario'!$AQ$5:$AQ$504,0)))</f>
        <v>#N/A</v>
      </c>
    </row>
    <row r="393">
      <c r="AD393" t="n">
        <v>388</v>
      </c>
      <c r="AE393" t="e">
        <f>IF(388&gt;$AB$5,NA(),INDEX('Diario'!$AK$5:$AK$504,MATCH(388,'Diario'!$AQ$5:$AQ$504,0)))</f>
        <v>#N/A</v>
      </c>
    </row>
    <row r="394">
      <c r="AD394" t="n">
        <v>389</v>
      </c>
      <c r="AE394" t="e">
        <f>IF(389&gt;$AB$5,NA(),INDEX('Diario'!$AK$5:$AK$504,MATCH(389,'Diario'!$AQ$5:$AQ$504,0)))</f>
        <v>#N/A</v>
      </c>
    </row>
    <row r="395">
      <c r="AD395" t="n">
        <v>390</v>
      </c>
      <c r="AE395" t="e">
        <f>IF(390&gt;$AB$5,NA(),INDEX('Diario'!$AK$5:$AK$504,MATCH(390,'Diario'!$AQ$5:$AQ$504,0)))</f>
        <v>#N/A</v>
      </c>
    </row>
    <row r="396">
      <c r="AD396" t="n">
        <v>391</v>
      </c>
      <c r="AE396" t="e">
        <f>IF(391&gt;$AB$5,NA(),INDEX('Diario'!$AK$5:$AK$504,MATCH(391,'Diario'!$AQ$5:$AQ$504,0)))</f>
        <v>#N/A</v>
      </c>
    </row>
    <row r="397">
      <c r="AD397" t="n">
        <v>392</v>
      </c>
      <c r="AE397" t="e">
        <f>IF(392&gt;$AB$5,NA(),INDEX('Diario'!$AK$5:$AK$504,MATCH(392,'Diario'!$AQ$5:$AQ$504,0)))</f>
        <v>#N/A</v>
      </c>
    </row>
    <row r="398">
      <c r="AD398" t="n">
        <v>393</v>
      </c>
      <c r="AE398" t="e">
        <f>IF(393&gt;$AB$5,NA(),INDEX('Diario'!$AK$5:$AK$504,MATCH(393,'Diario'!$AQ$5:$AQ$504,0)))</f>
        <v>#N/A</v>
      </c>
    </row>
    <row r="399">
      <c r="AD399" t="n">
        <v>394</v>
      </c>
      <c r="AE399" t="e">
        <f>IF(394&gt;$AB$5,NA(),INDEX('Diario'!$AK$5:$AK$504,MATCH(394,'Diario'!$AQ$5:$AQ$504,0)))</f>
        <v>#N/A</v>
      </c>
    </row>
    <row r="400">
      <c r="AD400" t="n">
        <v>395</v>
      </c>
      <c r="AE400" t="e">
        <f>IF(395&gt;$AB$5,NA(),INDEX('Diario'!$AK$5:$AK$504,MATCH(395,'Diario'!$AQ$5:$AQ$504,0)))</f>
        <v>#N/A</v>
      </c>
    </row>
    <row r="401">
      <c r="AD401" t="n">
        <v>396</v>
      </c>
      <c r="AE401" t="e">
        <f>IF(396&gt;$AB$5,NA(),INDEX('Diario'!$AK$5:$AK$504,MATCH(396,'Diario'!$AQ$5:$AQ$504,0)))</f>
        <v>#N/A</v>
      </c>
    </row>
    <row r="402">
      <c r="AD402" t="n">
        <v>397</v>
      </c>
      <c r="AE402" t="e">
        <f>IF(397&gt;$AB$5,NA(),INDEX('Diario'!$AK$5:$AK$504,MATCH(397,'Diario'!$AQ$5:$AQ$504,0)))</f>
        <v>#N/A</v>
      </c>
    </row>
    <row r="403">
      <c r="AD403" t="n">
        <v>398</v>
      </c>
      <c r="AE403" t="e">
        <f>IF(398&gt;$AB$5,NA(),INDEX('Diario'!$AK$5:$AK$504,MATCH(398,'Diario'!$AQ$5:$AQ$504,0)))</f>
        <v>#N/A</v>
      </c>
    </row>
    <row r="404">
      <c r="AD404" t="n">
        <v>399</v>
      </c>
      <c r="AE404" t="e">
        <f>IF(399&gt;$AB$5,NA(),INDEX('Diario'!$AK$5:$AK$504,MATCH(399,'Diario'!$AQ$5:$AQ$504,0)))</f>
        <v>#N/A</v>
      </c>
    </row>
    <row r="405">
      <c r="AD405" t="n">
        <v>400</v>
      </c>
      <c r="AE405" t="e">
        <f>IF(400&gt;$AB$5,NA(),INDEX('Diario'!$AK$5:$AK$504,MATCH(400,'Diario'!$AQ$5:$AQ$504,0)))</f>
        <v>#N/A</v>
      </c>
    </row>
    <row r="406">
      <c r="AD406" t="n">
        <v>401</v>
      </c>
      <c r="AE406" t="e">
        <f>IF(401&gt;$AB$5,NA(),INDEX('Diario'!$AK$5:$AK$504,MATCH(401,'Diario'!$AQ$5:$AQ$504,0)))</f>
        <v>#N/A</v>
      </c>
    </row>
    <row r="407">
      <c r="AD407" t="n">
        <v>402</v>
      </c>
      <c r="AE407" t="e">
        <f>IF(402&gt;$AB$5,NA(),INDEX('Diario'!$AK$5:$AK$504,MATCH(402,'Diario'!$AQ$5:$AQ$504,0)))</f>
        <v>#N/A</v>
      </c>
    </row>
    <row r="408">
      <c r="AD408" t="n">
        <v>403</v>
      </c>
      <c r="AE408" t="e">
        <f>IF(403&gt;$AB$5,NA(),INDEX('Diario'!$AK$5:$AK$504,MATCH(403,'Diario'!$AQ$5:$AQ$504,0)))</f>
        <v>#N/A</v>
      </c>
    </row>
    <row r="409">
      <c r="AD409" t="n">
        <v>404</v>
      </c>
      <c r="AE409" t="e">
        <f>IF(404&gt;$AB$5,NA(),INDEX('Diario'!$AK$5:$AK$504,MATCH(404,'Diario'!$AQ$5:$AQ$504,0)))</f>
        <v>#N/A</v>
      </c>
    </row>
    <row r="410">
      <c r="AD410" t="n">
        <v>405</v>
      </c>
      <c r="AE410" t="e">
        <f>IF(405&gt;$AB$5,NA(),INDEX('Diario'!$AK$5:$AK$504,MATCH(405,'Diario'!$AQ$5:$AQ$504,0)))</f>
        <v>#N/A</v>
      </c>
    </row>
    <row r="411">
      <c r="AD411" t="n">
        <v>406</v>
      </c>
      <c r="AE411" t="e">
        <f>IF(406&gt;$AB$5,NA(),INDEX('Diario'!$AK$5:$AK$504,MATCH(406,'Diario'!$AQ$5:$AQ$504,0)))</f>
        <v>#N/A</v>
      </c>
    </row>
    <row r="412">
      <c r="AD412" t="n">
        <v>407</v>
      </c>
      <c r="AE412" t="e">
        <f>IF(407&gt;$AB$5,NA(),INDEX('Diario'!$AK$5:$AK$504,MATCH(407,'Diario'!$AQ$5:$AQ$504,0)))</f>
        <v>#N/A</v>
      </c>
    </row>
    <row r="413">
      <c r="AD413" t="n">
        <v>408</v>
      </c>
      <c r="AE413" t="e">
        <f>IF(408&gt;$AB$5,NA(),INDEX('Diario'!$AK$5:$AK$504,MATCH(408,'Diario'!$AQ$5:$AQ$504,0)))</f>
        <v>#N/A</v>
      </c>
    </row>
    <row r="414">
      <c r="AD414" t="n">
        <v>409</v>
      </c>
      <c r="AE414" t="e">
        <f>IF(409&gt;$AB$5,NA(),INDEX('Diario'!$AK$5:$AK$504,MATCH(409,'Diario'!$AQ$5:$AQ$504,0)))</f>
        <v>#N/A</v>
      </c>
    </row>
    <row r="415">
      <c r="AD415" t="n">
        <v>410</v>
      </c>
      <c r="AE415" t="e">
        <f>IF(410&gt;$AB$5,NA(),INDEX('Diario'!$AK$5:$AK$504,MATCH(410,'Diario'!$AQ$5:$AQ$504,0)))</f>
        <v>#N/A</v>
      </c>
    </row>
    <row r="416">
      <c r="AD416" t="n">
        <v>411</v>
      </c>
      <c r="AE416" t="e">
        <f>IF(411&gt;$AB$5,NA(),INDEX('Diario'!$AK$5:$AK$504,MATCH(411,'Diario'!$AQ$5:$AQ$504,0)))</f>
        <v>#N/A</v>
      </c>
    </row>
    <row r="417">
      <c r="AD417" t="n">
        <v>412</v>
      </c>
      <c r="AE417" t="e">
        <f>IF(412&gt;$AB$5,NA(),INDEX('Diario'!$AK$5:$AK$504,MATCH(412,'Diario'!$AQ$5:$AQ$504,0)))</f>
        <v>#N/A</v>
      </c>
    </row>
    <row r="418">
      <c r="AD418" t="n">
        <v>413</v>
      </c>
      <c r="AE418" t="e">
        <f>IF(413&gt;$AB$5,NA(),INDEX('Diario'!$AK$5:$AK$504,MATCH(413,'Diario'!$AQ$5:$AQ$504,0)))</f>
        <v>#N/A</v>
      </c>
    </row>
    <row r="419">
      <c r="AD419" t="n">
        <v>414</v>
      </c>
      <c r="AE419" t="e">
        <f>IF(414&gt;$AB$5,NA(),INDEX('Diario'!$AK$5:$AK$504,MATCH(414,'Diario'!$AQ$5:$AQ$504,0)))</f>
        <v>#N/A</v>
      </c>
    </row>
    <row r="420">
      <c r="AD420" t="n">
        <v>415</v>
      </c>
      <c r="AE420" t="e">
        <f>IF(415&gt;$AB$5,NA(),INDEX('Diario'!$AK$5:$AK$504,MATCH(415,'Diario'!$AQ$5:$AQ$504,0)))</f>
        <v>#N/A</v>
      </c>
    </row>
    <row r="421">
      <c r="AD421" t="n">
        <v>416</v>
      </c>
      <c r="AE421" t="e">
        <f>IF(416&gt;$AB$5,NA(),INDEX('Diario'!$AK$5:$AK$504,MATCH(416,'Diario'!$AQ$5:$AQ$504,0)))</f>
        <v>#N/A</v>
      </c>
    </row>
    <row r="422">
      <c r="AD422" t="n">
        <v>417</v>
      </c>
      <c r="AE422" t="e">
        <f>IF(417&gt;$AB$5,NA(),INDEX('Diario'!$AK$5:$AK$504,MATCH(417,'Diario'!$AQ$5:$AQ$504,0)))</f>
        <v>#N/A</v>
      </c>
    </row>
    <row r="423">
      <c r="AD423" t="n">
        <v>418</v>
      </c>
      <c r="AE423" t="e">
        <f>IF(418&gt;$AB$5,NA(),INDEX('Diario'!$AK$5:$AK$504,MATCH(418,'Diario'!$AQ$5:$AQ$504,0)))</f>
        <v>#N/A</v>
      </c>
    </row>
    <row r="424">
      <c r="AD424" t="n">
        <v>419</v>
      </c>
      <c r="AE424" t="e">
        <f>IF(419&gt;$AB$5,NA(),INDEX('Diario'!$AK$5:$AK$504,MATCH(419,'Diario'!$AQ$5:$AQ$504,0)))</f>
        <v>#N/A</v>
      </c>
    </row>
    <row r="425">
      <c r="AD425" t="n">
        <v>420</v>
      </c>
      <c r="AE425" t="e">
        <f>IF(420&gt;$AB$5,NA(),INDEX('Diario'!$AK$5:$AK$504,MATCH(420,'Diario'!$AQ$5:$AQ$504,0)))</f>
        <v>#N/A</v>
      </c>
    </row>
    <row r="426">
      <c r="AD426" t="n">
        <v>421</v>
      </c>
      <c r="AE426" t="e">
        <f>IF(421&gt;$AB$5,NA(),INDEX('Diario'!$AK$5:$AK$504,MATCH(421,'Diario'!$AQ$5:$AQ$504,0)))</f>
        <v>#N/A</v>
      </c>
    </row>
    <row r="427">
      <c r="AD427" t="n">
        <v>422</v>
      </c>
      <c r="AE427" t="e">
        <f>IF(422&gt;$AB$5,NA(),INDEX('Diario'!$AK$5:$AK$504,MATCH(422,'Diario'!$AQ$5:$AQ$504,0)))</f>
        <v>#N/A</v>
      </c>
    </row>
    <row r="428">
      <c r="AD428" t="n">
        <v>423</v>
      </c>
      <c r="AE428" t="e">
        <f>IF(423&gt;$AB$5,NA(),INDEX('Diario'!$AK$5:$AK$504,MATCH(423,'Diario'!$AQ$5:$AQ$504,0)))</f>
        <v>#N/A</v>
      </c>
    </row>
    <row r="429">
      <c r="AD429" t="n">
        <v>424</v>
      </c>
      <c r="AE429" t="e">
        <f>IF(424&gt;$AB$5,NA(),INDEX('Diario'!$AK$5:$AK$504,MATCH(424,'Diario'!$AQ$5:$AQ$504,0)))</f>
        <v>#N/A</v>
      </c>
    </row>
    <row r="430">
      <c r="AD430" t="n">
        <v>425</v>
      </c>
      <c r="AE430" t="e">
        <f>IF(425&gt;$AB$5,NA(),INDEX('Diario'!$AK$5:$AK$504,MATCH(425,'Diario'!$AQ$5:$AQ$504,0)))</f>
        <v>#N/A</v>
      </c>
    </row>
    <row r="431">
      <c r="AD431" t="n">
        <v>426</v>
      </c>
      <c r="AE431" t="e">
        <f>IF(426&gt;$AB$5,NA(),INDEX('Diario'!$AK$5:$AK$504,MATCH(426,'Diario'!$AQ$5:$AQ$504,0)))</f>
        <v>#N/A</v>
      </c>
    </row>
    <row r="432">
      <c r="AD432" t="n">
        <v>427</v>
      </c>
      <c r="AE432" t="e">
        <f>IF(427&gt;$AB$5,NA(),INDEX('Diario'!$AK$5:$AK$504,MATCH(427,'Diario'!$AQ$5:$AQ$504,0)))</f>
        <v>#N/A</v>
      </c>
    </row>
    <row r="433">
      <c r="AD433" t="n">
        <v>428</v>
      </c>
      <c r="AE433" t="e">
        <f>IF(428&gt;$AB$5,NA(),INDEX('Diario'!$AK$5:$AK$504,MATCH(428,'Diario'!$AQ$5:$AQ$504,0)))</f>
        <v>#N/A</v>
      </c>
    </row>
    <row r="434">
      <c r="AD434" t="n">
        <v>429</v>
      </c>
      <c r="AE434" t="e">
        <f>IF(429&gt;$AB$5,NA(),INDEX('Diario'!$AK$5:$AK$504,MATCH(429,'Diario'!$AQ$5:$AQ$504,0)))</f>
        <v>#N/A</v>
      </c>
    </row>
    <row r="435">
      <c r="AD435" t="n">
        <v>430</v>
      </c>
      <c r="AE435" t="e">
        <f>IF(430&gt;$AB$5,NA(),INDEX('Diario'!$AK$5:$AK$504,MATCH(430,'Diario'!$AQ$5:$AQ$504,0)))</f>
        <v>#N/A</v>
      </c>
    </row>
    <row r="436">
      <c r="AD436" t="n">
        <v>431</v>
      </c>
      <c r="AE436" t="e">
        <f>IF(431&gt;$AB$5,NA(),INDEX('Diario'!$AK$5:$AK$504,MATCH(431,'Diario'!$AQ$5:$AQ$504,0)))</f>
        <v>#N/A</v>
      </c>
    </row>
    <row r="437">
      <c r="AD437" t="n">
        <v>432</v>
      </c>
      <c r="AE437" t="e">
        <f>IF(432&gt;$AB$5,NA(),INDEX('Diario'!$AK$5:$AK$504,MATCH(432,'Diario'!$AQ$5:$AQ$504,0)))</f>
        <v>#N/A</v>
      </c>
    </row>
    <row r="438">
      <c r="AD438" t="n">
        <v>433</v>
      </c>
      <c r="AE438" t="e">
        <f>IF(433&gt;$AB$5,NA(),INDEX('Diario'!$AK$5:$AK$504,MATCH(433,'Diario'!$AQ$5:$AQ$504,0)))</f>
        <v>#N/A</v>
      </c>
    </row>
    <row r="439">
      <c r="AD439" t="n">
        <v>434</v>
      </c>
      <c r="AE439" t="e">
        <f>IF(434&gt;$AB$5,NA(),INDEX('Diario'!$AK$5:$AK$504,MATCH(434,'Diario'!$AQ$5:$AQ$504,0)))</f>
        <v>#N/A</v>
      </c>
    </row>
    <row r="440">
      <c r="AD440" t="n">
        <v>435</v>
      </c>
      <c r="AE440" t="e">
        <f>IF(435&gt;$AB$5,NA(),INDEX('Diario'!$AK$5:$AK$504,MATCH(435,'Diario'!$AQ$5:$AQ$504,0)))</f>
        <v>#N/A</v>
      </c>
    </row>
    <row r="441">
      <c r="AD441" t="n">
        <v>436</v>
      </c>
      <c r="AE441" t="e">
        <f>IF(436&gt;$AB$5,NA(),INDEX('Diario'!$AK$5:$AK$504,MATCH(436,'Diario'!$AQ$5:$AQ$504,0)))</f>
        <v>#N/A</v>
      </c>
    </row>
    <row r="442">
      <c r="AD442" t="n">
        <v>437</v>
      </c>
      <c r="AE442" t="e">
        <f>IF(437&gt;$AB$5,NA(),INDEX('Diario'!$AK$5:$AK$504,MATCH(437,'Diario'!$AQ$5:$AQ$504,0)))</f>
        <v>#N/A</v>
      </c>
    </row>
    <row r="443">
      <c r="AD443" t="n">
        <v>438</v>
      </c>
      <c r="AE443" t="e">
        <f>IF(438&gt;$AB$5,NA(),INDEX('Diario'!$AK$5:$AK$504,MATCH(438,'Diario'!$AQ$5:$AQ$504,0)))</f>
        <v>#N/A</v>
      </c>
    </row>
    <row r="444">
      <c r="AD444" t="n">
        <v>439</v>
      </c>
      <c r="AE444" t="e">
        <f>IF(439&gt;$AB$5,NA(),INDEX('Diario'!$AK$5:$AK$504,MATCH(439,'Diario'!$AQ$5:$AQ$504,0)))</f>
        <v>#N/A</v>
      </c>
    </row>
    <row r="445">
      <c r="AD445" t="n">
        <v>440</v>
      </c>
      <c r="AE445" t="e">
        <f>IF(440&gt;$AB$5,NA(),INDEX('Diario'!$AK$5:$AK$504,MATCH(440,'Diario'!$AQ$5:$AQ$504,0)))</f>
        <v>#N/A</v>
      </c>
    </row>
    <row r="446">
      <c r="AD446" t="n">
        <v>441</v>
      </c>
      <c r="AE446" t="e">
        <f>IF(441&gt;$AB$5,NA(),INDEX('Diario'!$AK$5:$AK$504,MATCH(441,'Diario'!$AQ$5:$AQ$504,0)))</f>
        <v>#N/A</v>
      </c>
    </row>
    <row r="447">
      <c r="AD447" t="n">
        <v>442</v>
      </c>
      <c r="AE447" t="e">
        <f>IF(442&gt;$AB$5,NA(),INDEX('Diario'!$AK$5:$AK$504,MATCH(442,'Diario'!$AQ$5:$AQ$504,0)))</f>
        <v>#N/A</v>
      </c>
    </row>
    <row r="448">
      <c r="AD448" t="n">
        <v>443</v>
      </c>
      <c r="AE448" t="e">
        <f>IF(443&gt;$AB$5,NA(),INDEX('Diario'!$AK$5:$AK$504,MATCH(443,'Diario'!$AQ$5:$AQ$504,0)))</f>
        <v>#N/A</v>
      </c>
    </row>
    <row r="449">
      <c r="AD449" t="n">
        <v>444</v>
      </c>
      <c r="AE449" t="e">
        <f>IF(444&gt;$AB$5,NA(),INDEX('Diario'!$AK$5:$AK$504,MATCH(444,'Diario'!$AQ$5:$AQ$504,0)))</f>
        <v>#N/A</v>
      </c>
    </row>
    <row r="450">
      <c r="AD450" t="n">
        <v>445</v>
      </c>
      <c r="AE450" t="e">
        <f>IF(445&gt;$AB$5,NA(),INDEX('Diario'!$AK$5:$AK$504,MATCH(445,'Diario'!$AQ$5:$AQ$504,0)))</f>
        <v>#N/A</v>
      </c>
    </row>
    <row r="451">
      <c r="AD451" t="n">
        <v>446</v>
      </c>
      <c r="AE451" t="e">
        <f>IF(446&gt;$AB$5,NA(),INDEX('Diario'!$AK$5:$AK$504,MATCH(446,'Diario'!$AQ$5:$AQ$504,0)))</f>
        <v>#N/A</v>
      </c>
    </row>
    <row r="452">
      <c r="AD452" t="n">
        <v>447</v>
      </c>
      <c r="AE452" t="e">
        <f>IF(447&gt;$AB$5,NA(),INDEX('Diario'!$AK$5:$AK$504,MATCH(447,'Diario'!$AQ$5:$AQ$504,0)))</f>
        <v>#N/A</v>
      </c>
    </row>
    <row r="453">
      <c r="AD453" t="n">
        <v>448</v>
      </c>
      <c r="AE453" t="e">
        <f>IF(448&gt;$AB$5,NA(),INDEX('Diario'!$AK$5:$AK$504,MATCH(448,'Diario'!$AQ$5:$AQ$504,0)))</f>
        <v>#N/A</v>
      </c>
    </row>
    <row r="454">
      <c r="AD454" t="n">
        <v>449</v>
      </c>
      <c r="AE454" t="e">
        <f>IF(449&gt;$AB$5,NA(),INDEX('Diario'!$AK$5:$AK$504,MATCH(449,'Diario'!$AQ$5:$AQ$504,0)))</f>
        <v>#N/A</v>
      </c>
    </row>
    <row r="455">
      <c r="AD455" t="n">
        <v>450</v>
      </c>
      <c r="AE455" t="e">
        <f>IF(450&gt;$AB$5,NA(),INDEX('Diario'!$AK$5:$AK$504,MATCH(450,'Diario'!$AQ$5:$AQ$504,0)))</f>
        <v>#N/A</v>
      </c>
    </row>
    <row r="456">
      <c r="AD456" t="n">
        <v>451</v>
      </c>
      <c r="AE456" t="e">
        <f>IF(451&gt;$AB$5,NA(),INDEX('Diario'!$AK$5:$AK$504,MATCH(451,'Diario'!$AQ$5:$AQ$504,0)))</f>
        <v>#N/A</v>
      </c>
    </row>
    <row r="457">
      <c r="AD457" t="n">
        <v>452</v>
      </c>
      <c r="AE457" t="e">
        <f>IF(452&gt;$AB$5,NA(),INDEX('Diario'!$AK$5:$AK$504,MATCH(452,'Diario'!$AQ$5:$AQ$504,0)))</f>
        <v>#N/A</v>
      </c>
    </row>
    <row r="458">
      <c r="AD458" t="n">
        <v>453</v>
      </c>
      <c r="AE458" t="e">
        <f>IF(453&gt;$AB$5,NA(),INDEX('Diario'!$AK$5:$AK$504,MATCH(453,'Diario'!$AQ$5:$AQ$504,0)))</f>
        <v>#N/A</v>
      </c>
    </row>
    <row r="459">
      <c r="AD459" t="n">
        <v>454</v>
      </c>
      <c r="AE459" t="e">
        <f>IF(454&gt;$AB$5,NA(),INDEX('Diario'!$AK$5:$AK$504,MATCH(454,'Diario'!$AQ$5:$AQ$504,0)))</f>
        <v>#N/A</v>
      </c>
    </row>
    <row r="460">
      <c r="AD460" t="n">
        <v>455</v>
      </c>
      <c r="AE460" t="e">
        <f>IF(455&gt;$AB$5,NA(),INDEX('Diario'!$AK$5:$AK$504,MATCH(455,'Diario'!$AQ$5:$AQ$504,0)))</f>
        <v>#N/A</v>
      </c>
    </row>
    <row r="461">
      <c r="AD461" t="n">
        <v>456</v>
      </c>
      <c r="AE461" t="e">
        <f>IF(456&gt;$AB$5,NA(),INDEX('Diario'!$AK$5:$AK$504,MATCH(456,'Diario'!$AQ$5:$AQ$504,0)))</f>
        <v>#N/A</v>
      </c>
    </row>
    <row r="462">
      <c r="AD462" t="n">
        <v>457</v>
      </c>
      <c r="AE462" t="e">
        <f>IF(457&gt;$AB$5,NA(),INDEX('Diario'!$AK$5:$AK$504,MATCH(457,'Diario'!$AQ$5:$AQ$504,0)))</f>
        <v>#N/A</v>
      </c>
    </row>
    <row r="463">
      <c r="AD463" t="n">
        <v>458</v>
      </c>
      <c r="AE463" t="e">
        <f>IF(458&gt;$AB$5,NA(),INDEX('Diario'!$AK$5:$AK$504,MATCH(458,'Diario'!$AQ$5:$AQ$504,0)))</f>
        <v>#N/A</v>
      </c>
    </row>
    <row r="464">
      <c r="AD464" t="n">
        <v>459</v>
      </c>
      <c r="AE464" t="e">
        <f>IF(459&gt;$AB$5,NA(),INDEX('Diario'!$AK$5:$AK$504,MATCH(459,'Diario'!$AQ$5:$AQ$504,0)))</f>
        <v>#N/A</v>
      </c>
    </row>
    <row r="465">
      <c r="AD465" t="n">
        <v>460</v>
      </c>
      <c r="AE465" t="e">
        <f>IF(460&gt;$AB$5,NA(),INDEX('Diario'!$AK$5:$AK$504,MATCH(460,'Diario'!$AQ$5:$AQ$504,0)))</f>
        <v>#N/A</v>
      </c>
    </row>
    <row r="466">
      <c r="AD466" t="n">
        <v>461</v>
      </c>
      <c r="AE466" t="e">
        <f>IF(461&gt;$AB$5,NA(),INDEX('Diario'!$AK$5:$AK$504,MATCH(461,'Diario'!$AQ$5:$AQ$504,0)))</f>
        <v>#N/A</v>
      </c>
    </row>
    <row r="467">
      <c r="AD467" t="n">
        <v>462</v>
      </c>
      <c r="AE467" t="e">
        <f>IF(462&gt;$AB$5,NA(),INDEX('Diario'!$AK$5:$AK$504,MATCH(462,'Diario'!$AQ$5:$AQ$504,0)))</f>
        <v>#N/A</v>
      </c>
    </row>
    <row r="468">
      <c r="AD468" t="n">
        <v>463</v>
      </c>
      <c r="AE468" t="e">
        <f>IF(463&gt;$AB$5,NA(),INDEX('Diario'!$AK$5:$AK$504,MATCH(463,'Diario'!$AQ$5:$AQ$504,0)))</f>
        <v>#N/A</v>
      </c>
    </row>
    <row r="469">
      <c r="AD469" t="n">
        <v>464</v>
      </c>
      <c r="AE469" t="e">
        <f>IF(464&gt;$AB$5,NA(),INDEX('Diario'!$AK$5:$AK$504,MATCH(464,'Diario'!$AQ$5:$AQ$504,0)))</f>
        <v>#N/A</v>
      </c>
    </row>
    <row r="470">
      <c r="AD470" t="n">
        <v>465</v>
      </c>
      <c r="AE470" t="e">
        <f>IF(465&gt;$AB$5,NA(),INDEX('Diario'!$AK$5:$AK$504,MATCH(465,'Diario'!$AQ$5:$AQ$504,0)))</f>
        <v>#N/A</v>
      </c>
    </row>
    <row r="471">
      <c r="AD471" t="n">
        <v>466</v>
      </c>
      <c r="AE471" t="e">
        <f>IF(466&gt;$AB$5,NA(),INDEX('Diario'!$AK$5:$AK$504,MATCH(466,'Diario'!$AQ$5:$AQ$504,0)))</f>
        <v>#N/A</v>
      </c>
    </row>
    <row r="472">
      <c r="AD472" t="n">
        <v>467</v>
      </c>
      <c r="AE472" t="e">
        <f>IF(467&gt;$AB$5,NA(),INDEX('Diario'!$AK$5:$AK$504,MATCH(467,'Diario'!$AQ$5:$AQ$504,0)))</f>
        <v>#N/A</v>
      </c>
    </row>
    <row r="473">
      <c r="AD473" t="n">
        <v>468</v>
      </c>
      <c r="AE473" t="e">
        <f>IF(468&gt;$AB$5,NA(),INDEX('Diario'!$AK$5:$AK$504,MATCH(468,'Diario'!$AQ$5:$AQ$504,0)))</f>
        <v>#N/A</v>
      </c>
    </row>
    <row r="474">
      <c r="AD474" t="n">
        <v>469</v>
      </c>
      <c r="AE474" t="e">
        <f>IF(469&gt;$AB$5,NA(),INDEX('Diario'!$AK$5:$AK$504,MATCH(469,'Diario'!$AQ$5:$AQ$504,0)))</f>
        <v>#N/A</v>
      </c>
    </row>
    <row r="475">
      <c r="AD475" t="n">
        <v>470</v>
      </c>
      <c r="AE475" t="e">
        <f>IF(470&gt;$AB$5,NA(),INDEX('Diario'!$AK$5:$AK$504,MATCH(470,'Diario'!$AQ$5:$AQ$504,0)))</f>
        <v>#N/A</v>
      </c>
    </row>
    <row r="476">
      <c r="AD476" t="n">
        <v>471</v>
      </c>
      <c r="AE476" t="e">
        <f>IF(471&gt;$AB$5,NA(),INDEX('Diario'!$AK$5:$AK$504,MATCH(471,'Diario'!$AQ$5:$AQ$504,0)))</f>
        <v>#N/A</v>
      </c>
    </row>
    <row r="477">
      <c r="AD477" t="n">
        <v>472</v>
      </c>
      <c r="AE477" t="e">
        <f>IF(472&gt;$AB$5,NA(),INDEX('Diario'!$AK$5:$AK$504,MATCH(472,'Diario'!$AQ$5:$AQ$504,0)))</f>
        <v>#N/A</v>
      </c>
    </row>
    <row r="478">
      <c r="AD478" t="n">
        <v>473</v>
      </c>
      <c r="AE478" t="e">
        <f>IF(473&gt;$AB$5,NA(),INDEX('Diario'!$AK$5:$AK$504,MATCH(473,'Diario'!$AQ$5:$AQ$504,0)))</f>
        <v>#N/A</v>
      </c>
    </row>
    <row r="479">
      <c r="AD479" t="n">
        <v>474</v>
      </c>
      <c r="AE479" t="e">
        <f>IF(474&gt;$AB$5,NA(),INDEX('Diario'!$AK$5:$AK$504,MATCH(474,'Diario'!$AQ$5:$AQ$504,0)))</f>
        <v>#N/A</v>
      </c>
    </row>
    <row r="480">
      <c r="AD480" t="n">
        <v>475</v>
      </c>
      <c r="AE480" t="e">
        <f>IF(475&gt;$AB$5,NA(),INDEX('Diario'!$AK$5:$AK$504,MATCH(475,'Diario'!$AQ$5:$AQ$504,0)))</f>
        <v>#N/A</v>
      </c>
    </row>
    <row r="481">
      <c r="AD481" t="n">
        <v>476</v>
      </c>
      <c r="AE481" t="e">
        <f>IF(476&gt;$AB$5,NA(),INDEX('Diario'!$AK$5:$AK$504,MATCH(476,'Diario'!$AQ$5:$AQ$504,0)))</f>
        <v>#N/A</v>
      </c>
    </row>
    <row r="482">
      <c r="AD482" t="n">
        <v>477</v>
      </c>
      <c r="AE482" t="e">
        <f>IF(477&gt;$AB$5,NA(),INDEX('Diario'!$AK$5:$AK$504,MATCH(477,'Diario'!$AQ$5:$AQ$504,0)))</f>
        <v>#N/A</v>
      </c>
    </row>
    <row r="483">
      <c r="AD483" t="n">
        <v>478</v>
      </c>
      <c r="AE483" t="e">
        <f>IF(478&gt;$AB$5,NA(),INDEX('Diario'!$AK$5:$AK$504,MATCH(478,'Diario'!$AQ$5:$AQ$504,0)))</f>
        <v>#N/A</v>
      </c>
    </row>
    <row r="484">
      <c r="AD484" t="n">
        <v>479</v>
      </c>
      <c r="AE484" t="e">
        <f>IF(479&gt;$AB$5,NA(),INDEX('Diario'!$AK$5:$AK$504,MATCH(479,'Diario'!$AQ$5:$AQ$504,0)))</f>
        <v>#N/A</v>
      </c>
    </row>
    <row r="485">
      <c r="AD485" t="n">
        <v>480</v>
      </c>
      <c r="AE485" t="e">
        <f>IF(480&gt;$AB$5,NA(),INDEX('Diario'!$AK$5:$AK$504,MATCH(480,'Diario'!$AQ$5:$AQ$504,0)))</f>
        <v>#N/A</v>
      </c>
    </row>
    <row r="486">
      <c r="AD486" t="n">
        <v>481</v>
      </c>
      <c r="AE486" t="e">
        <f>IF(481&gt;$AB$5,NA(),INDEX('Diario'!$AK$5:$AK$504,MATCH(481,'Diario'!$AQ$5:$AQ$504,0)))</f>
        <v>#N/A</v>
      </c>
    </row>
    <row r="487">
      <c r="AD487" t="n">
        <v>482</v>
      </c>
      <c r="AE487" t="e">
        <f>IF(482&gt;$AB$5,NA(),INDEX('Diario'!$AK$5:$AK$504,MATCH(482,'Diario'!$AQ$5:$AQ$504,0)))</f>
        <v>#N/A</v>
      </c>
    </row>
    <row r="488">
      <c r="AD488" t="n">
        <v>483</v>
      </c>
      <c r="AE488" t="e">
        <f>IF(483&gt;$AB$5,NA(),INDEX('Diario'!$AK$5:$AK$504,MATCH(483,'Diario'!$AQ$5:$AQ$504,0)))</f>
        <v>#N/A</v>
      </c>
    </row>
    <row r="489">
      <c r="AD489" t="n">
        <v>484</v>
      </c>
      <c r="AE489" t="e">
        <f>IF(484&gt;$AB$5,NA(),INDEX('Diario'!$AK$5:$AK$504,MATCH(484,'Diario'!$AQ$5:$AQ$504,0)))</f>
        <v>#N/A</v>
      </c>
    </row>
    <row r="490">
      <c r="AD490" t="n">
        <v>485</v>
      </c>
      <c r="AE490" t="e">
        <f>IF(485&gt;$AB$5,NA(),INDEX('Diario'!$AK$5:$AK$504,MATCH(485,'Diario'!$AQ$5:$AQ$504,0)))</f>
        <v>#N/A</v>
      </c>
    </row>
    <row r="491">
      <c r="AD491" t="n">
        <v>486</v>
      </c>
      <c r="AE491" t="e">
        <f>IF(486&gt;$AB$5,NA(),INDEX('Diario'!$AK$5:$AK$504,MATCH(486,'Diario'!$AQ$5:$AQ$504,0)))</f>
        <v>#N/A</v>
      </c>
    </row>
    <row r="492">
      <c r="AD492" t="n">
        <v>487</v>
      </c>
      <c r="AE492" t="e">
        <f>IF(487&gt;$AB$5,NA(),INDEX('Diario'!$AK$5:$AK$504,MATCH(487,'Diario'!$AQ$5:$AQ$504,0)))</f>
        <v>#N/A</v>
      </c>
    </row>
    <row r="493">
      <c r="AD493" t="n">
        <v>488</v>
      </c>
      <c r="AE493" t="e">
        <f>IF(488&gt;$AB$5,NA(),INDEX('Diario'!$AK$5:$AK$504,MATCH(488,'Diario'!$AQ$5:$AQ$504,0)))</f>
        <v>#N/A</v>
      </c>
    </row>
    <row r="494">
      <c r="AD494" t="n">
        <v>489</v>
      </c>
      <c r="AE494" t="e">
        <f>IF(489&gt;$AB$5,NA(),INDEX('Diario'!$AK$5:$AK$504,MATCH(489,'Diario'!$AQ$5:$AQ$504,0)))</f>
        <v>#N/A</v>
      </c>
    </row>
    <row r="495">
      <c r="AD495" t="n">
        <v>490</v>
      </c>
      <c r="AE495" t="e">
        <f>IF(490&gt;$AB$5,NA(),INDEX('Diario'!$AK$5:$AK$504,MATCH(490,'Diario'!$AQ$5:$AQ$504,0)))</f>
        <v>#N/A</v>
      </c>
    </row>
    <row r="496">
      <c r="AD496" t="n">
        <v>491</v>
      </c>
      <c r="AE496" t="e">
        <f>IF(491&gt;$AB$5,NA(),INDEX('Diario'!$AK$5:$AK$504,MATCH(491,'Diario'!$AQ$5:$AQ$504,0)))</f>
        <v>#N/A</v>
      </c>
    </row>
    <row r="497">
      <c r="AD497" t="n">
        <v>492</v>
      </c>
      <c r="AE497" t="e">
        <f>IF(492&gt;$AB$5,NA(),INDEX('Diario'!$AK$5:$AK$504,MATCH(492,'Diario'!$AQ$5:$AQ$504,0)))</f>
        <v>#N/A</v>
      </c>
    </row>
    <row r="498">
      <c r="AD498" t="n">
        <v>493</v>
      </c>
      <c r="AE498" t="e">
        <f>IF(493&gt;$AB$5,NA(),INDEX('Diario'!$AK$5:$AK$504,MATCH(493,'Diario'!$AQ$5:$AQ$504,0)))</f>
        <v>#N/A</v>
      </c>
    </row>
    <row r="499">
      <c r="AD499" t="n">
        <v>494</v>
      </c>
      <c r="AE499" t="e">
        <f>IF(494&gt;$AB$5,NA(),INDEX('Diario'!$AK$5:$AK$504,MATCH(494,'Diario'!$AQ$5:$AQ$504,0)))</f>
        <v>#N/A</v>
      </c>
    </row>
    <row r="500">
      <c r="AD500" t="n">
        <v>495</v>
      </c>
      <c r="AE500" t="e">
        <f>IF(495&gt;$AB$5,NA(),INDEX('Diario'!$AK$5:$AK$504,MATCH(495,'Diario'!$AQ$5:$AQ$504,0)))</f>
        <v>#N/A</v>
      </c>
    </row>
    <row r="501">
      <c r="AD501" t="n">
        <v>496</v>
      </c>
      <c r="AE501" t="e">
        <f>IF(496&gt;$AB$5,NA(),INDEX('Diario'!$AK$5:$AK$504,MATCH(496,'Diario'!$AQ$5:$AQ$504,0)))</f>
        <v>#N/A</v>
      </c>
    </row>
    <row r="502">
      <c r="AD502" t="n">
        <v>497</v>
      </c>
      <c r="AE502" t="e">
        <f>IF(497&gt;$AB$5,NA(),INDEX('Diario'!$AK$5:$AK$504,MATCH(497,'Diario'!$AQ$5:$AQ$504,0)))</f>
        <v>#N/A</v>
      </c>
    </row>
    <row r="503">
      <c r="AD503" t="n">
        <v>498</v>
      </c>
      <c r="AE503" t="e">
        <f>IF(498&gt;$AB$5,NA(),INDEX('Diario'!$AK$5:$AK$504,MATCH(498,'Diario'!$AQ$5:$AQ$504,0)))</f>
        <v>#N/A</v>
      </c>
    </row>
    <row r="504">
      <c r="AD504" t="n">
        <v>499</v>
      </c>
      <c r="AE504" t="e">
        <f>IF(499&gt;$AB$5,NA(),INDEX('Diario'!$AK$5:$AK$504,MATCH(499,'Diario'!$AQ$5:$AQ$504,0)))</f>
        <v>#N/A</v>
      </c>
    </row>
    <row r="505">
      <c r="AD505" t="n">
        <v>500</v>
      </c>
      <c r="AE505" t="e">
        <f>IF(500&gt;$AB$5,NA(),INDEX('Diario'!$AK$5:$AK$504,MATCH(500,'Diario'!$AQ$5:$AQ$504,0)))</f>
        <v>#N/A</v>
      </c>
    </row>
  </sheetData>
  <mergeCells count="50">
    <mergeCell ref="K16:L16"/>
    <mergeCell ref="E12:F12"/>
    <mergeCell ref="B16:C16"/>
    <mergeCell ref="H20:I20"/>
    <mergeCell ref="J5:K5"/>
    <mergeCell ref="H10:I10"/>
    <mergeCell ref="K9:L9"/>
    <mergeCell ref="B22:C22"/>
    <mergeCell ref="E14:F14"/>
    <mergeCell ref="B18:C18"/>
    <mergeCell ref="E17:F17"/>
    <mergeCell ref="H9:I9"/>
    <mergeCell ref="E8:F8"/>
    <mergeCell ref="B12:C12"/>
    <mergeCell ref="K21:L21"/>
    <mergeCell ref="B21:C21"/>
    <mergeCell ref="E20:F20"/>
    <mergeCell ref="H21:I21"/>
    <mergeCell ref="K20:L20"/>
    <mergeCell ref="E10:F10"/>
    <mergeCell ref="B14:C14"/>
    <mergeCell ref="E13:F13"/>
    <mergeCell ref="B17:C17"/>
    <mergeCell ref="K22:L22"/>
    <mergeCell ref="E9:F9"/>
    <mergeCell ref="B8:C8"/>
    <mergeCell ref="H17:I17"/>
    <mergeCell ref="B13:C13"/>
    <mergeCell ref="K12:L12"/>
    <mergeCell ref="H16:I16"/>
    <mergeCell ref="K8:L8"/>
    <mergeCell ref="B10:C10"/>
    <mergeCell ref="H22:I22"/>
    <mergeCell ref="B9:C9"/>
    <mergeCell ref="H13:I13"/>
    <mergeCell ref="H14:I14"/>
    <mergeCell ref="K14:L14"/>
    <mergeCell ref="K17:L17"/>
    <mergeCell ref="H12:I12"/>
    <mergeCell ref="E16:F16"/>
    <mergeCell ref="B20:C20"/>
    <mergeCell ref="D5:E5"/>
    <mergeCell ref="K10:L10"/>
    <mergeCell ref="H18:I18"/>
    <mergeCell ref="E22:F22"/>
    <mergeCell ref="H8:I8"/>
    <mergeCell ref="K13:L13"/>
    <mergeCell ref="E18:F18"/>
    <mergeCell ref="K18:L18"/>
    <mergeCell ref="E21:F21"/>
  </mergeCells>
  <conditionalFormatting sqref="B9">
    <cfRule type="expression" priority="1" dxfId="0">
      <formula>AND(ISNUMBER(B9),B9&gt;0)</formula>
    </cfRule>
    <cfRule type="expression" priority="2" dxfId="1">
      <formula>AND(ISNUMBER(B9),B9&lt;0)</formula>
    </cfRule>
  </conditionalFormatting>
  <conditionalFormatting sqref="B13">
    <cfRule type="expression" priority="3" dxfId="0">
      <formula>AND(ISNUMBER(B13),B13&gt;0)</formula>
    </cfRule>
    <cfRule type="expression" priority="4" dxfId="1">
      <formula>AND(ISNUMBER(B13),B13&lt;0)</formula>
    </cfRule>
  </conditionalFormatting>
  <conditionalFormatting sqref="E13">
    <cfRule type="expression" priority="5" dxfId="0">
      <formula>AND(ISNUMBER(E13),E13&gt;0)</formula>
    </cfRule>
    <cfRule type="expression" priority="6" dxfId="1">
      <formula>AND(ISNUMBER(E13),E13&lt;0)</formula>
    </cfRule>
  </conditionalFormatting>
  <conditionalFormatting sqref="H13">
    <cfRule type="expression" priority="7" dxfId="0">
      <formula>AND(ISNUMBER(H13),H13&gt;0)</formula>
    </cfRule>
    <cfRule type="expression" priority="8" dxfId="1">
      <formula>AND(ISNUMBER(H13),H13&lt;0)</formula>
    </cfRule>
  </conditionalFormatting>
  <conditionalFormatting sqref="K13">
    <cfRule type="expression" priority="9" dxfId="0">
      <formula>AND(ISNUMBER(K13),K13&gt;0)</formula>
    </cfRule>
    <cfRule type="expression" priority="10" dxfId="1">
      <formula>AND(ISNUMBER(K13),K13&lt;0)</formula>
    </cfRule>
  </conditionalFormatting>
  <conditionalFormatting sqref="B17">
    <cfRule type="expression" priority="11" dxfId="0">
      <formula>AND(ISNUMBER(B17),B17&gt;0)</formula>
    </cfRule>
    <cfRule type="expression" priority="12" dxfId="1">
      <formula>AND(ISNUMBER(B17),B17&lt;0)</formula>
    </cfRule>
  </conditionalFormatting>
  <conditionalFormatting sqref="E17">
    <cfRule type="expression" priority="13" dxfId="0">
      <formula>AND(ISNUMBER(E17),E17&gt;0)</formula>
    </cfRule>
    <cfRule type="expression" priority="14" dxfId="1">
      <formula>AND(ISNUMBER(E17),E17&lt;0)</formula>
    </cfRule>
  </conditionalFormatting>
  <conditionalFormatting sqref="H17">
    <cfRule type="expression" priority="15" dxfId="0">
      <formula>AND(ISNUMBER(H17),H17&gt;0)</formula>
    </cfRule>
    <cfRule type="expression" priority="16" dxfId="1">
      <formula>AND(ISNUMBER(H17),H17&lt;0)</formula>
    </cfRule>
  </conditionalFormatting>
  <conditionalFormatting sqref="K17">
    <cfRule type="expression" priority="17" dxfId="0">
      <formula>AND(ISNUMBER(K17),K17&gt;0)</formula>
    </cfRule>
    <cfRule type="expression" priority="18" dxfId="1">
      <formula>AND(ISNUMBER(K17),K17&lt;0)</formula>
    </cfRule>
  </conditionalFormatting>
  <conditionalFormatting sqref="H21">
    <cfRule type="expression" priority="19" dxfId="0">
      <formula>AND(ISNUMBER(H21),H21&gt;0)</formula>
    </cfRule>
    <cfRule type="expression" priority="20" dxfId="1">
      <formula>AND(ISNUMBER(H21),H21&lt;0)</formula>
    </cfRule>
  </conditionalFormatting>
  <conditionalFormatting sqref="F46:F57">
    <cfRule type="expression" priority="21" dxfId="0">
      <formula>AND(ISNUMBER(F46),F46&gt;0)</formula>
    </cfRule>
    <cfRule type="expression" priority="22" dxfId="1">
      <formula>AND(ISNUMBER(F46),F46&lt;0)</formula>
    </cfRule>
  </conditionalFormatting>
  <conditionalFormatting sqref="E62:E73">
    <cfRule type="expression" priority="23" dxfId="0">
      <formula>AND(ISNUMBER(E62),E62&gt;0)</formula>
    </cfRule>
    <cfRule type="expression" priority="24" dxfId="1">
      <formula>AND(ISNUMBER(E62),E62&lt;0)</formula>
    </cfRule>
  </conditionalFormatting>
  <conditionalFormatting sqref="K62:K78">
    <cfRule type="expression" priority="25" dxfId="0">
      <formula>AND(ISNUMBER(K62),K62&gt;0)</formula>
    </cfRule>
    <cfRule type="expression" priority="26" dxfId="1">
      <formula>AND(ISNUMBER(K62),K62&lt;0)</formula>
    </cfRule>
  </conditionalFormatting>
  <conditionalFormatting sqref="E83:E89">
    <cfRule type="expression" priority="27" dxfId="0">
      <formula>AND(ISNUMBER(E83),E83&gt;0)</formula>
    </cfRule>
    <cfRule type="expression" priority="28" dxfId="1">
      <formula>AND(ISNUMBER(E83),E83&lt;0)</formula>
    </cfRule>
  </conditionalFormatting>
  <conditionalFormatting sqref="K83:K87">
    <cfRule type="expression" priority="29" dxfId="0">
      <formula>AND(ISNUMBER(K83),K83&gt;0)</formula>
    </cfRule>
    <cfRule type="expression" priority="30" dxfId="1">
      <formula>AND(ISNUMBER(K83),K83&lt;0)</formula>
    </cfRule>
  </conditionalFormatting>
  <conditionalFormatting sqref="E94:E103">
    <cfRule type="expression" priority="31" dxfId="0">
      <formula>AND(ISNUMBER(E94),E94&gt;0)</formula>
    </cfRule>
    <cfRule type="expression" priority="32" dxfId="1">
      <formula>AND(ISNUMBER(E94),E94&lt;0)</formula>
    </cfRule>
  </conditionalFormatting>
  <conditionalFormatting sqref="K94:K101">
    <cfRule type="expression" priority="33" dxfId="0">
      <formula>AND(ISNUMBER(K94),K94&gt;0)</formula>
    </cfRule>
    <cfRule type="expression" priority="34" dxfId="1">
      <formula>AND(ISNUMBER(K94),K94&lt;0)</formula>
    </cfRule>
  </conditionalFormatting>
  <dataValidations count="1">
    <dataValidation sqref="D5" showDropDown="0" showInputMessage="0" showErrorMessage="0" allowBlank="1" type="list">
      <formula1>'Listas'!$J$6:$J$16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A1A1AA"/>
    <outlinePr summaryBelow="1" summaryRight="1"/>
    <pageSetUpPr/>
  </sheetPr>
  <dimension ref="A1:AB6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2" customWidth="1" min="11" max="11"/>
    <col width="14" customWidth="1" min="12" max="12"/>
    <col hidden="1" width="13" customWidth="1" min="27" max="27"/>
    <col hidden="1" width="13" customWidth="1" min="28" max="2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15" t="inlineStr">
        <is>
          <t>Calendario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</row>
    <row r="3">
      <c r="A3" s="1" t="n"/>
      <c r="B3" s="16" t="inlineStr">
        <is>
          <t>P&amp;L neto diario por fecha de cierre. Días verdes y rojos, totales semanales.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</row>
    <row r="5">
      <c r="A5" s="1" t="n"/>
      <c r="B5" s="32" t="inlineStr">
        <is>
          <t>Mes</t>
        </is>
      </c>
      <c r="C5" s="50">
        <f>IFERROR(DATE(YEAR(_xlfn.MAXIFS('Diario'!$D$5:$D$504,'Diario'!$AH$5:$AH$504,1)),MONTH(_xlfn.MAXIFS('Diario'!$D$5:$D$504,'Diario'!$AH$5:$AH$504,1)),1),DATE(YEAR(TODAY()),MONTH(TODAY()),1))</f>
        <v>46296</v>
      </c>
      <c r="E5" s="14" t="inlineStr">
        <is>
          <t>Escribe cualquier fecha del mes para verlo. Abre con el último mes con operaciones.</t>
        </is>
      </c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AA5" s="19" t="inlineStr">
        <is>
          <t>grid_start</t>
        </is>
      </c>
      <c r="AB5">
        <f>$C$5-WEEKDAY($C$5,2)+1</f>
        <v>46293</v>
      </c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</row>
    <row r="7">
      <c r="A7" s="1" t="n"/>
      <c r="B7" s="51" t="inlineStr">
        <is>
          <t>Lun</t>
        </is>
      </c>
      <c r="C7" s="51" t="inlineStr">
        <is>
          <t>Mar</t>
        </is>
      </c>
      <c r="D7" s="51" t="inlineStr">
        <is>
          <t>Mié</t>
        </is>
      </c>
      <c r="E7" s="51" t="inlineStr">
        <is>
          <t>Jue</t>
        </is>
      </c>
      <c r="F7" s="51" t="inlineStr">
        <is>
          <t>Vie</t>
        </is>
      </c>
      <c r="G7" s="51" t="inlineStr">
        <is>
          <t>Sáb</t>
        </is>
      </c>
      <c r="H7" s="51" t="inlineStr">
        <is>
          <t>Dom</t>
        </is>
      </c>
      <c r="I7" s="51" t="inlineStr">
        <is>
          <t>Semana</t>
        </is>
      </c>
      <c r="J7" s="1" t="n"/>
      <c r="K7" s="4" t="inlineStr">
        <is>
          <t>Este mes</t>
        </is>
      </c>
      <c r="L7" s="1" t="n"/>
      <c r="M7" s="1" t="n"/>
      <c r="N7" s="1" t="n"/>
      <c r="O7" s="1" t="n"/>
      <c r="P7" s="1" t="n"/>
      <c r="Q7" s="1" t="n"/>
      <c r="R7" s="1" t="n"/>
      <c r="S7" s="1" t="n"/>
      <c r="T7" s="1" t="n"/>
    </row>
    <row r="8" ht="16" customHeight="1">
      <c r="A8" s="1" t="n"/>
      <c r="B8" s="52">
        <f>$AB$5+0</f>
        <v>46293</v>
      </c>
      <c r="C8" s="52">
        <f>$AB$5+1</f>
        <v>46294</v>
      </c>
      <c r="D8" s="52">
        <f>$AB$5+2</f>
        <v>46295</v>
      </c>
      <c r="E8" s="52">
        <f>$AB$5+3</f>
        <v>46296</v>
      </c>
      <c r="F8" s="52">
        <f>$AB$5+4</f>
        <v>46297</v>
      </c>
      <c r="G8" s="52">
        <f>$AB$5+5</f>
        <v>46298</v>
      </c>
      <c r="H8" s="52">
        <f>$AB$5+6</f>
        <v>46299</v>
      </c>
      <c r="I8" s="1" t="n"/>
      <c r="J8" s="1" t="n"/>
      <c r="K8" s="5" t="inlineStr">
        <is>
          <t>P&amp;L neto</t>
        </is>
      </c>
      <c r="L8" s="53">
        <f>SUMIFS('Diario'!$R$5:$R$504,'Diario'!$AH$5:$AH$504,1,'Diario'!$D$5:$D$504,"&gt;="&amp;$C$5,'Diario'!$D$5:$D$504,"&lt;"&amp;EDATE($C$5,1))</f>
        <v>418.3140000000005</v>
      </c>
      <c r="M8" s="1" t="n"/>
      <c r="N8" s="1" t="n"/>
      <c r="O8" s="1" t="n"/>
      <c r="P8" s="1" t="n"/>
      <c r="Q8" s="1" t="n"/>
      <c r="R8" s="1" t="n"/>
      <c r="S8" s="1" t="n"/>
      <c r="T8" s="1" t="n"/>
    </row>
    <row r="9" ht="24" customHeight="1">
      <c r="A9" s="1" t="n"/>
      <c r="B9" s="54" t="str">
        <f>IF(MONTH(B8)&lt;&gt;MONTH($C$5),"",IF(COUNTIFS('Diario'!$D$5:$D$504,B8,'Diario'!$AH$5:$AH$504,1)=0,"",SUMIFS('Diario'!$R$5:$R$504,'Diario'!$D$5:$D$504,B8,'Diario'!$AH$5:$AH$504,1)))</f>
        <v/>
      </c>
      <c r="C9" s="54" t="str">
        <f>IF(MONTH(C8)&lt;&gt;MONTH($C$5),"",IF(COUNTIFS('Diario'!$D$5:$D$504,C8,'Diario'!$AH$5:$AH$504,1)=0,"",SUMIFS('Diario'!$R$5:$R$504,'Diario'!$D$5:$D$504,C8,'Diario'!$AH$5:$AH$504,1)))</f>
        <v/>
      </c>
      <c r="D9" s="54" t="str">
        <f>IF(MONTH(D8)&lt;&gt;MONTH($C$5),"",IF(COUNTIFS('Diario'!$D$5:$D$504,D8,'Diario'!$AH$5:$AH$504,1)=0,"",SUMIFS('Diario'!$R$5:$R$504,'Diario'!$D$5:$D$504,D8,'Diario'!$AH$5:$AH$504,1)))</f>
        <v/>
      </c>
      <c r="E9" s="54">
        <f>IF(MONTH(E8)&lt;&gt;MONTH($C$5),"",IF(COUNTIFS('Diario'!$D$5:$D$504,E8,'Diario'!$AH$5:$AH$504,1)=0,"",SUMIFS('Diario'!$R$5:$R$504,'Diario'!$D$5:$D$504,E8,'Diario'!$AH$5:$AH$504,1)))</f>
        <v>-102.79999999999788</v>
      </c>
      <c r="F9" s="54">
        <f>IF(MONTH(F8)&lt;&gt;MONTH($C$5),"",IF(COUNTIFS('Diario'!$D$5:$D$504,F8,'Diario'!$AH$5:$AH$504,1)=0,"",SUMIFS('Diario'!$R$5:$R$504,'Diario'!$D$5:$D$504,F8,'Diario'!$AH$5:$AH$504,1)))</f>
        <v>180</v>
      </c>
      <c r="G9" s="54" t="str">
        <f>IF(MONTH(G8)&lt;&gt;MONTH($C$5),"",IF(COUNTIFS('Diario'!$D$5:$D$504,G8,'Diario'!$AH$5:$AH$504,1)=0,"",SUMIFS('Diario'!$R$5:$R$504,'Diario'!$D$5:$D$504,G8,'Diario'!$AH$5:$AH$504,1)))</f>
        <v/>
      </c>
      <c r="H9" s="54" t="str">
        <f>IF(MONTH(H8)&lt;&gt;MONTH($C$5),"",IF(COUNTIFS('Diario'!$D$5:$D$504,H8,'Diario'!$AH$5:$AH$504,1)=0,"",SUMIFS('Diario'!$R$5:$R$504,'Diario'!$D$5:$D$504,H8,'Diario'!$AH$5:$AH$504,1)))</f>
        <v/>
      </c>
      <c r="I9" s="55">
        <f>IF(COUNT(B9:H9)=0,"",SUM(B9:H9))</f>
        <v>77.20000000000212</v>
      </c>
      <c r="J9" s="1" t="n"/>
      <c r="K9" s="5" t="inlineStr">
        <is>
          <t>Operaciones</t>
        </is>
      </c>
      <c r="L9" s="56">
        <f>COUNTIFS('Diario'!$AH$5:$AH$504,1,'Diario'!$D$5:$D$504,"&gt;="&amp;$C$5,'Diario'!$D$5:$D$504,"&lt;"&amp;EDATE($C$5,1))</f>
        <v>12</v>
      </c>
      <c r="M9" s="1" t="n"/>
      <c r="N9" s="1" t="n"/>
      <c r="O9" s="1" t="n"/>
      <c r="P9" s="1" t="n"/>
      <c r="Q9" s="1" t="n"/>
      <c r="R9" s="1" t="n"/>
      <c r="S9" s="1" t="n"/>
      <c r="T9" s="1" t="n"/>
    </row>
    <row r="10" ht="14" customHeight="1">
      <c r="A10" s="1" t="n"/>
      <c r="B10" s="57" t="str">
        <f>IF(MONTH(B8)&lt;&gt;MONTH($C$5),"",IF(COUNTIFS('Diario'!$D$5:$D$504,B8,'Diario'!$AH$5:$AH$504,1)=0,"",COUNTIFS('Diario'!$D$5:$D$504,B8,'Diario'!$AH$5:$AH$504,1)))</f>
        <v/>
      </c>
      <c r="C10" s="57" t="str">
        <f>IF(MONTH(C8)&lt;&gt;MONTH($C$5),"",IF(COUNTIFS('Diario'!$D$5:$D$504,C8,'Diario'!$AH$5:$AH$504,1)=0,"",COUNTIFS('Diario'!$D$5:$D$504,C8,'Diario'!$AH$5:$AH$504,1)))</f>
        <v/>
      </c>
      <c r="D10" s="57" t="str">
        <f>IF(MONTH(D8)&lt;&gt;MONTH($C$5),"",IF(COUNTIFS('Diario'!$D$5:$D$504,D8,'Diario'!$AH$5:$AH$504,1)=0,"",COUNTIFS('Diario'!$D$5:$D$504,D8,'Diario'!$AH$5:$AH$504,1)))</f>
        <v/>
      </c>
      <c r="E10" s="57">
        <f>IF(MONTH(E8)&lt;&gt;MONTH($C$5),"",IF(COUNTIFS('Diario'!$D$5:$D$504,E8,'Diario'!$AH$5:$AH$504,1)=0,"",COUNTIFS('Diario'!$D$5:$D$504,E8,'Diario'!$AH$5:$AH$504,1)))</f>
        <v>1</v>
      </c>
      <c r="F10" s="57">
        <f>IF(MONTH(F8)&lt;&gt;MONTH($C$5),"",IF(COUNTIFS('Diario'!$D$5:$D$504,F8,'Diario'!$AH$5:$AH$504,1)=0,"",COUNTIFS('Diario'!$D$5:$D$504,F8,'Diario'!$AH$5:$AH$504,1)))</f>
        <v>1</v>
      </c>
      <c r="G10" s="57" t="str">
        <f>IF(MONTH(G8)&lt;&gt;MONTH($C$5),"",IF(COUNTIFS('Diario'!$D$5:$D$504,G8,'Diario'!$AH$5:$AH$504,1)=0,"",COUNTIFS('Diario'!$D$5:$D$504,G8,'Diario'!$AH$5:$AH$504,1)))</f>
        <v/>
      </c>
      <c r="H10" s="57" t="str">
        <f>IF(MONTH(H8)&lt;&gt;MONTH($C$5),"",IF(COUNTIFS('Diario'!$D$5:$D$504,H8,'Diario'!$AH$5:$AH$504,1)=0,"",COUNTIFS('Diario'!$D$5:$D$504,H8,'Diario'!$AH$5:$AH$504,1)))</f>
        <v/>
      </c>
      <c r="I10" s="58">
        <f>IF(COUNT(B10:H10)=0,"",SUM(B10:H10))</f>
        <v>2</v>
      </c>
      <c r="J10" s="1" t="n"/>
      <c r="K10" s="5" t="inlineStr">
        <is>
          <t>Días verdes</t>
        </is>
      </c>
      <c r="L10" s="56">
        <f>COUNTIF(B9:H9,"&gt;0")+COUNTIF(B12:H12,"&gt;0")+COUNTIF(B15:H15,"&gt;0")+COUNTIF(B18:H18,"&gt;0")+COUNTIF(B21:H21,"&gt;0")+COUNTIF(B24:H24,"&gt;0")</f>
        <v>6</v>
      </c>
      <c r="M10" s="1" t="n"/>
      <c r="N10" s="1" t="n"/>
      <c r="O10" s="1" t="n"/>
      <c r="P10" s="1" t="n"/>
      <c r="Q10" s="1" t="n"/>
      <c r="R10" s="1" t="n"/>
      <c r="S10" s="1" t="n"/>
      <c r="T10" s="1" t="n"/>
    </row>
    <row r="11" ht="16" customHeight="1">
      <c r="A11" s="1" t="n"/>
      <c r="B11" s="52">
        <f>$AB$5+7</f>
        <v>46300</v>
      </c>
      <c r="C11" s="52">
        <f>$AB$5+8</f>
        <v>46301</v>
      </c>
      <c r="D11" s="52">
        <f>$AB$5+9</f>
        <v>46302</v>
      </c>
      <c r="E11" s="52">
        <f>$AB$5+10</f>
        <v>46303</v>
      </c>
      <c r="F11" s="52">
        <f>$AB$5+11</f>
        <v>46304</v>
      </c>
      <c r="G11" s="52">
        <f>$AB$5+12</f>
        <v>46305</v>
      </c>
      <c r="H11" s="52">
        <f>$AB$5+13</f>
        <v>46306</v>
      </c>
      <c r="I11" s="1" t="n"/>
      <c r="J11" s="1" t="n"/>
      <c r="K11" s="5" t="inlineStr">
        <is>
          <t>Días rojos</t>
        </is>
      </c>
      <c r="L11" s="56">
        <f>COUNTIF(B9:H9,"&lt;0")+COUNTIF(B12:H12,"&lt;0")+COUNTIF(B15:H15,"&lt;0")+COUNTIF(B18:H18,"&lt;0")+COUNTIF(B21:H21,"&lt;0")+COUNTIF(B24:H24,"&lt;0")</f>
        <v>6</v>
      </c>
      <c r="M11" s="1" t="n"/>
      <c r="N11" s="1" t="n"/>
      <c r="O11" s="1" t="n"/>
      <c r="P11" s="1" t="n"/>
      <c r="Q11" s="1" t="n"/>
      <c r="R11" s="1" t="n"/>
      <c r="S11" s="1" t="n"/>
      <c r="T11" s="1" t="n"/>
    </row>
    <row r="12" ht="24" customHeight="1">
      <c r="A12" s="1" t="n"/>
      <c r="B12" s="54">
        <f>IF(MONTH(B11)&lt;&gt;MONTH($C$5),"",IF(COUNTIFS('Diario'!$D$5:$D$504,B11,'Diario'!$AH$5:$AH$504,1)=0,"",SUMIFS('Diario'!$R$5:$R$504,'Diario'!$D$5:$D$504,B11,'Diario'!$AH$5:$AH$504,1)))</f>
        <v>96</v>
      </c>
      <c r="C12" s="54">
        <f>IF(MONTH(C11)&lt;&gt;MONTH($C$5),"",IF(COUNTIFS('Diario'!$D$5:$D$504,C11,'Diario'!$AH$5:$AH$504,1)=0,"",SUMIFS('Diario'!$R$5:$R$504,'Diario'!$D$5:$D$504,C11,'Diario'!$AH$5:$AH$504,1)))</f>
        <v>-117.38600000000433</v>
      </c>
      <c r="D12" s="54">
        <f>IF(MONTH(D11)&lt;&gt;MONTH($C$5),"",IF(COUNTIFS('Diario'!$D$5:$D$504,D11,'Diario'!$AH$5:$AH$504,1)=0,"",SUMIFS('Diario'!$R$5:$R$504,'Diario'!$D$5:$D$504,D11,'Diario'!$AH$5:$AH$504,1)))</f>
        <v>-102.79999999999788</v>
      </c>
      <c r="E12" s="54">
        <f>IF(MONTH(E11)&lt;&gt;MONTH($C$5),"",IF(COUNTIFS('Diario'!$D$5:$D$504,E11,'Diario'!$AH$5:$AH$504,1)=0,"",SUMIFS('Diario'!$R$5:$R$504,'Diario'!$D$5:$D$504,E11,'Diario'!$AH$5:$AH$504,1)))</f>
        <v>237.20000000000022</v>
      </c>
      <c r="F12" s="54">
        <f>IF(MONTH(F11)&lt;&gt;MONTH($C$5),"",IF(COUNTIFS('Diario'!$D$5:$D$504,F11,'Diario'!$AH$5:$AH$504,1)=0,"",SUMIFS('Diario'!$R$5:$R$504,'Diario'!$D$5:$D$504,F11,'Diario'!$AH$5:$AH$504,1)))</f>
        <v>56.50000000000449</v>
      </c>
      <c r="G12" s="54" t="str">
        <f>IF(MONTH(G11)&lt;&gt;MONTH($C$5),"",IF(COUNTIFS('Diario'!$D$5:$D$504,G11,'Diario'!$AH$5:$AH$504,1)=0,"",SUMIFS('Diario'!$R$5:$R$504,'Diario'!$D$5:$D$504,G11,'Diario'!$AH$5:$AH$504,1)))</f>
        <v/>
      </c>
      <c r="H12" s="54" t="str">
        <f>IF(MONTH(H11)&lt;&gt;MONTH($C$5),"",IF(COUNTIFS('Diario'!$D$5:$D$504,H11,'Diario'!$AH$5:$AH$504,1)=0,"",SUMIFS('Diario'!$R$5:$R$504,'Diario'!$D$5:$D$504,H11,'Diario'!$AH$5:$AH$504,1)))</f>
        <v/>
      </c>
      <c r="I12" s="55">
        <f>IF(COUNT(B12:H12)=0,"",SUM(B12:H12))</f>
        <v>169.5140000000025</v>
      </c>
      <c r="J12" s="1" t="n"/>
      <c r="K12" s="5" t="inlineStr">
        <is>
          <t>Mejor día</t>
        </is>
      </c>
      <c r="L12" s="53">
        <f>IF(COUNT(B9:H9,B12:H12,B15:H15,B18:H18,B21:H21,B24:H24)=0,"",MAX(B9:H9,B12:H12,B15:H15,B18:H18,B21:H21,B24:H24))</f>
        <v>237.20000000000022</v>
      </c>
      <c r="M12" s="1" t="n"/>
      <c r="N12" s="1" t="n"/>
      <c r="O12" s="1" t="n"/>
      <c r="P12" s="1" t="n"/>
      <c r="Q12" s="1" t="n"/>
      <c r="R12" s="1" t="n"/>
      <c r="S12" s="1" t="n"/>
      <c r="T12" s="1" t="n"/>
    </row>
    <row r="13" ht="14" customHeight="1">
      <c r="A13" s="1" t="n"/>
      <c r="B13" s="57">
        <f>IF(MONTH(B11)&lt;&gt;MONTH($C$5),"",IF(COUNTIFS('Diario'!$D$5:$D$504,B11,'Diario'!$AH$5:$AH$504,1)=0,"",COUNTIFS('Diario'!$D$5:$D$504,B11,'Diario'!$AH$5:$AH$504,1)))</f>
        <v>1</v>
      </c>
      <c r="C13" s="57">
        <f>IF(MONTH(C11)&lt;&gt;MONTH($C$5),"",IF(COUNTIFS('Diario'!$D$5:$D$504,C11,'Diario'!$AH$5:$AH$504,1)=0,"",COUNTIFS('Diario'!$D$5:$D$504,C11,'Diario'!$AH$5:$AH$504,1)))</f>
        <v>1</v>
      </c>
      <c r="D13" s="57">
        <f>IF(MONTH(D11)&lt;&gt;MONTH($C$5),"",IF(COUNTIFS('Diario'!$D$5:$D$504,D11,'Diario'!$AH$5:$AH$504,1)=0,"",COUNTIFS('Diario'!$D$5:$D$504,D11,'Diario'!$AH$5:$AH$504,1)))</f>
        <v>1</v>
      </c>
      <c r="E13" s="57">
        <f>IF(MONTH(E11)&lt;&gt;MONTH($C$5),"",IF(COUNTIFS('Diario'!$D$5:$D$504,E11,'Diario'!$AH$5:$AH$504,1)=0,"",COUNTIFS('Diario'!$D$5:$D$504,E11,'Diario'!$AH$5:$AH$504,1)))</f>
        <v>1</v>
      </c>
      <c r="F13" s="57">
        <f>IF(MONTH(F11)&lt;&gt;MONTH($C$5),"",IF(COUNTIFS('Diario'!$D$5:$D$504,F11,'Diario'!$AH$5:$AH$504,1)=0,"",COUNTIFS('Diario'!$D$5:$D$504,F11,'Diario'!$AH$5:$AH$504,1)))</f>
        <v>1</v>
      </c>
      <c r="G13" s="57" t="str">
        <f>IF(MONTH(G11)&lt;&gt;MONTH($C$5),"",IF(COUNTIFS('Diario'!$D$5:$D$504,G11,'Diario'!$AH$5:$AH$504,1)=0,"",COUNTIFS('Diario'!$D$5:$D$504,G11,'Diario'!$AH$5:$AH$504,1)))</f>
        <v/>
      </c>
      <c r="H13" s="57" t="str">
        <f>IF(MONTH(H11)&lt;&gt;MONTH($C$5),"",IF(COUNTIFS('Diario'!$D$5:$D$504,H11,'Diario'!$AH$5:$AH$504,1)=0,"",COUNTIFS('Diario'!$D$5:$D$504,H11,'Diario'!$AH$5:$AH$504,1)))</f>
        <v/>
      </c>
      <c r="I13" s="58">
        <f>IF(COUNT(B13:H13)=0,"",SUM(B13:H13))</f>
        <v>5</v>
      </c>
      <c r="J13" s="1" t="n"/>
      <c r="K13" s="5" t="inlineStr">
        <is>
          <t>Peor día</t>
        </is>
      </c>
      <c r="L13" s="53">
        <f>IF(COUNT(B9:H9,B12:H12,B15:H15,B18:H18,B21:H21,B24:H24)=0,"",MIN(B9:H9,B12:H12,B15:H15,B18:H18,B21:H21,B24:H24))</f>
        <v>-117.38600000000433</v>
      </c>
      <c r="M13" s="1" t="n"/>
      <c r="N13" s="1" t="n"/>
      <c r="O13" s="1" t="n"/>
      <c r="P13" s="1" t="n"/>
      <c r="Q13" s="1" t="n"/>
      <c r="R13" s="1" t="n"/>
      <c r="S13" s="1" t="n"/>
      <c r="T13" s="1" t="n"/>
    </row>
    <row r="14" ht="16" customHeight="1">
      <c r="A14" s="1" t="n"/>
      <c r="B14" s="52">
        <f>$AB$5+14</f>
        <v>46307</v>
      </c>
      <c r="C14" s="52">
        <f>$AB$5+15</f>
        <v>46308</v>
      </c>
      <c r="D14" s="52">
        <f>$AB$5+16</f>
        <v>46309</v>
      </c>
      <c r="E14" s="52">
        <f>$AB$5+17</f>
        <v>46310</v>
      </c>
      <c r="F14" s="52">
        <f>$AB$5+18</f>
        <v>46311</v>
      </c>
      <c r="G14" s="52">
        <f>$AB$5+19</f>
        <v>46312</v>
      </c>
      <c r="H14" s="52">
        <f>$AB$5+20</f>
        <v>46313</v>
      </c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</row>
    <row r="15" ht="24" customHeight="1">
      <c r="A15" s="1" t="n"/>
      <c r="B15" s="54">
        <f>IF(MONTH(B14)&lt;&gt;MONTH($C$5),"",IF(COUNTIFS('Diario'!$D$5:$D$504,B14,'Diario'!$AH$5:$AH$504,1)=0,"",SUMIFS('Diario'!$R$5:$R$504,'Diario'!$D$5:$D$504,B14,'Diario'!$AH$5:$AH$504,1)))</f>
        <v>-90</v>
      </c>
      <c r="C15" s="54">
        <f>IF(MONTH(C14)&lt;&gt;MONTH($C$5),"",IF(COUNTIFS('Diario'!$D$5:$D$504,C14,'Diario'!$AH$5:$AH$504,1)=0,"",SUMIFS('Diario'!$R$5:$R$504,'Diario'!$D$5:$D$504,C14,'Diario'!$AH$5:$AH$504,1)))</f>
        <v>187.20000000000127</v>
      </c>
      <c r="D15" s="54">
        <f>IF(MONTH(D14)&lt;&gt;MONTH($C$5),"",IF(COUNTIFS('Diario'!$D$5:$D$504,D14,'Diario'!$AH$5:$AH$504,1)=0,"",SUMIFS('Diario'!$R$5:$R$504,'Diario'!$D$5:$D$504,D14,'Diario'!$AH$5:$AH$504,1)))</f>
        <v>-42.800000000004474</v>
      </c>
      <c r="E15" s="54">
        <f>IF(MONTH(E14)&lt;&gt;MONTH($C$5),"",IF(COUNTIFS('Diario'!$D$5:$D$504,E14,'Diario'!$AH$5:$AH$504,1)=0,"",SUMIFS('Diario'!$R$5:$R$504,'Diario'!$D$5:$D$504,E14,'Diario'!$AH$5:$AH$504,1)))</f>
        <v>207.19999999999908</v>
      </c>
      <c r="F15" s="54">
        <f>IF(MONTH(F14)&lt;&gt;MONTH($C$5),"",IF(COUNTIFS('Diario'!$D$5:$D$504,F14,'Diario'!$AH$5:$AH$504,1)=0,"",SUMIFS('Diario'!$R$5:$R$504,'Diario'!$D$5:$D$504,F14,'Diario'!$AH$5:$AH$504,1)))</f>
        <v>-90</v>
      </c>
      <c r="G15" s="54" t="str">
        <f>IF(MONTH(G14)&lt;&gt;MONTH($C$5),"",IF(COUNTIFS('Diario'!$D$5:$D$504,G14,'Diario'!$AH$5:$AH$504,1)=0,"",SUMIFS('Diario'!$R$5:$R$504,'Diario'!$D$5:$D$504,G14,'Diario'!$AH$5:$AH$504,1)))</f>
        <v/>
      </c>
      <c r="H15" s="54" t="str">
        <f>IF(MONTH(H14)&lt;&gt;MONTH($C$5),"",IF(COUNTIFS('Diario'!$D$5:$D$504,H14,'Diario'!$AH$5:$AH$504,1)=0,"",SUMIFS('Diario'!$R$5:$R$504,'Diario'!$D$5:$D$504,H14,'Diario'!$AH$5:$AH$504,1)))</f>
        <v/>
      </c>
      <c r="I15" s="55">
        <f>IF(COUNT(B15:H15)=0,"",SUM(B15:H15))</f>
        <v>171.59999999999587</v>
      </c>
      <c r="J15" s="1" t="n"/>
      <c r="K15" s="14" t="inlineStr">
        <is>
          <t>Sigue la cuenta elegida en el Panel.</t>
        </is>
      </c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</row>
    <row r="16" ht="14" customHeight="1">
      <c r="A16" s="1" t="n"/>
      <c r="B16" s="57">
        <f>IF(MONTH(B14)&lt;&gt;MONTH($C$5),"",IF(COUNTIFS('Diario'!$D$5:$D$504,B14,'Diario'!$AH$5:$AH$504,1)=0,"",COUNTIFS('Diario'!$D$5:$D$504,B14,'Diario'!$AH$5:$AH$504,1)))</f>
        <v>1</v>
      </c>
      <c r="C16" s="57">
        <f>IF(MONTH(C14)&lt;&gt;MONTH($C$5),"",IF(COUNTIFS('Diario'!$D$5:$D$504,C14,'Diario'!$AH$5:$AH$504,1)=0,"",COUNTIFS('Diario'!$D$5:$D$504,C14,'Diario'!$AH$5:$AH$504,1)))</f>
        <v>1</v>
      </c>
      <c r="D16" s="57">
        <f>IF(MONTH(D14)&lt;&gt;MONTH($C$5),"",IF(COUNTIFS('Diario'!$D$5:$D$504,D14,'Diario'!$AH$5:$AH$504,1)=0,"",COUNTIFS('Diario'!$D$5:$D$504,D14,'Diario'!$AH$5:$AH$504,1)))</f>
        <v>1</v>
      </c>
      <c r="E16" s="57">
        <f>IF(MONTH(E14)&lt;&gt;MONTH($C$5),"",IF(COUNTIFS('Diario'!$D$5:$D$504,E14,'Diario'!$AH$5:$AH$504,1)=0,"",COUNTIFS('Diario'!$D$5:$D$504,E14,'Diario'!$AH$5:$AH$504,1)))</f>
        <v>1</v>
      </c>
      <c r="F16" s="57">
        <f>IF(MONTH(F14)&lt;&gt;MONTH($C$5),"",IF(COUNTIFS('Diario'!$D$5:$D$504,F14,'Diario'!$AH$5:$AH$504,1)=0,"",COUNTIFS('Diario'!$D$5:$D$504,F14,'Diario'!$AH$5:$AH$504,1)))</f>
        <v>1</v>
      </c>
      <c r="G16" s="57" t="str">
        <f>IF(MONTH(G14)&lt;&gt;MONTH($C$5),"",IF(COUNTIFS('Diario'!$D$5:$D$504,G14,'Diario'!$AH$5:$AH$504,1)=0,"",COUNTIFS('Diario'!$D$5:$D$504,G14,'Diario'!$AH$5:$AH$504,1)))</f>
        <v/>
      </c>
      <c r="H16" s="57" t="str">
        <f>IF(MONTH(H14)&lt;&gt;MONTH($C$5),"",IF(COUNTIFS('Diario'!$D$5:$D$504,H14,'Diario'!$AH$5:$AH$504,1)=0,"",COUNTIFS('Diario'!$D$5:$D$504,H14,'Diario'!$AH$5:$AH$504,1)))</f>
        <v/>
      </c>
      <c r="I16" s="58">
        <f>IF(COUNT(B16:H16)=0,"",SUM(B16:H16))</f>
        <v>5</v>
      </c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</row>
    <row r="17" ht="16" customHeight="1">
      <c r="A17" s="1" t="n"/>
      <c r="B17" s="52">
        <f>$AB$5+21</f>
        <v>46314</v>
      </c>
      <c r="C17" s="52">
        <f>$AB$5+22</f>
        <v>46315</v>
      </c>
      <c r="D17" s="52">
        <f>$AB$5+23</f>
        <v>46316</v>
      </c>
      <c r="E17" s="52">
        <f>$AB$5+24</f>
        <v>46317</v>
      </c>
      <c r="F17" s="52">
        <f>$AB$5+25</f>
        <v>46318</v>
      </c>
      <c r="G17" s="52">
        <f>$AB$5+26</f>
        <v>46319</v>
      </c>
      <c r="H17" s="52">
        <f>$AB$5+27</f>
        <v>46320</v>
      </c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</row>
    <row r="18" ht="24" customHeight="1">
      <c r="A18" s="1" t="n"/>
      <c r="B18" s="54" t="str">
        <f>IF(MONTH(B17)&lt;&gt;MONTH($C$5),"",IF(COUNTIFS('Diario'!$D$5:$D$504,B17,'Diario'!$AH$5:$AH$504,1)=0,"",SUMIFS('Diario'!$R$5:$R$504,'Diario'!$D$5:$D$504,B17,'Diario'!$AH$5:$AH$504,1)))</f>
        <v/>
      </c>
      <c r="C18" s="54" t="str">
        <f>IF(MONTH(C17)&lt;&gt;MONTH($C$5),"",IF(COUNTIFS('Diario'!$D$5:$D$504,C17,'Diario'!$AH$5:$AH$504,1)=0,"",SUMIFS('Diario'!$R$5:$R$504,'Diario'!$D$5:$D$504,C17,'Diario'!$AH$5:$AH$504,1)))</f>
        <v/>
      </c>
      <c r="D18" s="54" t="str">
        <f>IF(MONTH(D17)&lt;&gt;MONTH($C$5),"",IF(COUNTIFS('Diario'!$D$5:$D$504,D17,'Diario'!$AH$5:$AH$504,1)=0,"",SUMIFS('Diario'!$R$5:$R$504,'Diario'!$D$5:$D$504,D17,'Diario'!$AH$5:$AH$504,1)))</f>
        <v/>
      </c>
      <c r="E18" s="54" t="str">
        <f>IF(MONTH(E17)&lt;&gt;MONTH($C$5),"",IF(COUNTIFS('Diario'!$D$5:$D$504,E17,'Diario'!$AH$5:$AH$504,1)=0,"",SUMIFS('Diario'!$R$5:$R$504,'Diario'!$D$5:$D$504,E17,'Diario'!$AH$5:$AH$504,1)))</f>
        <v/>
      </c>
      <c r="F18" s="54" t="str">
        <f>IF(MONTH(F17)&lt;&gt;MONTH($C$5),"",IF(COUNTIFS('Diario'!$D$5:$D$504,F17,'Diario'!$AH$5:$AH$504,1)=0,"",SUMIFS('Diario'!$R$5:$R$504,'Diario'!$D$5:$D$504,F17,'Diario'!$AH$5:$AH$504,1)))</f>
        <v/>
      </c>
      <c r="G18" s="54" t="str">
        <f>IF(MONTH(G17)&lt;&gt;MONTH($C$5),"",IF(COUNTIFS('Diario'!$D$5:$D$504,G17,'Diario'!$AH$5:$AH$504,1)=0,"",SUMIFS('Diario'!$R$5:$R$504,'Diario'!$D$5:$D$504,G17,'Diario'!$AH$5:$AH$504,1)))</f>
        <v/>
      </c>
      <c r="H18" s="54" t="str">
        <f>IF(MONTH(H17)&lt;&gt;MONTH($C$5),"",IF(COUNTIFS('Diario'!$D$5:$D$504,H17,'Diario'!$AH$5:$AH$504,1)=0,"",SUMIFS('Diario'!$R$5:$R$504,'Diario'!$D$5:$D$504,H17,'Diario'!$AH$5:$AH$504,1)))</f>
        <v/>
      </c>
      <c r="I18" s="55" t="str">
        <f>IF(COUNT(B18:H18)=0,"",SUM(B18:H18))</f>
        <v/>
      </c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</row>
    <row r="19" ht="14" customHeight="1">
      <c r="A19" s="1" t="n"/>
      <c r="B19" s="57" t="str">
        <f>IF(MONTH(B17)&lt;&gt;MONTH($C$5),"",IF(COUNTIFS('Diario'!$D$5:$D$504,B17,'Diario'!$AH$5:$AH$504,1)=0,"",COUNTIFS('Diario'!$D$5:$D$504,B17,'Diario'!$AH$5:$AH$504,1)))</f>
        <v/>
      </c>
      <c r="C19" s="57" t="str">
        <f>IF(MONTH(C17)&lt;&gt;MONTH($C$5),"",IF(COUNTIFS('Diario'!$D$5:$D$504,C17,'Diario'!$AH$5:$AH$504,1)=0,"",COUNTIFS('Diario'!$D$5:$D$504,C17,'Diario'!$AH$5:$AH$504,1)))</f>
        <v/>
      </c>
      <c r="D19" s="57" t="str">
        <f>IF(MONTH(D17)&lt;&gt;MONTH($C$5),"",IF(COUNTIFS('Diario'!$D$5:$D$504,D17,'Diario'!$AH$5:$AH$504,1)=0,"",COUNTIFS('Diario'!$D$5:$D$504,D17,'Diario'!$AH$5:$AH$504,1)))</f>
        <v/>
      </c>
      <c r="E19" s="57" t="str">
        <f>IF(MONTH(E17)&lt;&gt;MONTH($C$5),"",IF(COUNTIFS('Diario'!$D$5:$D$504,E17,'Diario'!$AH$5:$AH$504,1)=0,"",COUNTIFS('Diario'!$D$5:$D$504,E17,'Diario'!$AH$5:$AH$504,1)))</f>
        <v/>
      </c>
      <c r="F19" s="57" t="str">
        <f>IF(MONTH(F17)&lt;&gt;MONTH($C$5),"",IF(COUNTIFS('Diario'!$D$5:$D$504,F17,'Diario'!$AH$5:$AH$504,1)=0,"",COUNTIFS('Diario'!$D$5:$D$504,F17,'Diario'!$AH$5:$AH$504,1)))</f>
        <v/>
      </c>
      <c r="G19" s="57" t="str">
        <f>IF(MONTH(G17)&lt;&gt;MONTH($C$5),"",IF(COUNTIFS('Diario'!$D$5:$D$504,G17,'Diario'!$AH$5:$AH$504,1)=0,"",COUNTIFS('Diario'!$D$5:$D$504,G17,'Diario'!$AH$5:$AH$504,1)))</f>
        <v/>
      </c>
      <c r="H19" s="57" t="str">
        <f>IF(MONTH(H17)&lt;&gt;MONTH($C$5),"",IF(COUNTIFS('Diario'!$D$5:$D$504,H17,'Diario'!$AH$5:$AH$504,1)=0,"",COUNTIFS('Diario'!$D$5:$D$504,H17,'Diario'!$AH$5:$AH$504,1)))</f>
        <v/>
      </c>
      <c r="I19" s="58" t="str">
        <f>IF(COUNT(B19:H19)=0,"",SUM(B19:H19))</f>
        <v/>
      </c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</row>
    <row r="20" ht="16" customHeight="1">
      <c r="A20" s="1" t="n"/>
      <c r="B20" s="52">
        <f>$AB$5+28</f>
        <v>46321</v>
      </c>
      <c r="C20" s="52">
        <f>$AB$5+29</f>
        <v>46322</v>
      </c>
      <c r="D20" s="52">
        <f>$AB$5+30</f>
        <v>46323</v>
      </c>
      <c r="E20" s="52">
        <f>$AB$5+31</f>
        <v>46324</v>
      </c>
      <c r="F20" s="52">
        <f>$AB$5+32</f>
        <v>46325</v>
      </c>
      <c r="G20" s="52">
        <f>$AB$5+33</f>
        <v>46326</v>
      </c>
      <c r="H20" s="52">
        <f>$AB$5+34</f>
        <v>46327</v>
      </c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</row>
    <row r="21" ht="24" customHeight="1">
      <c r="A21" s="1" t="n"/>
      <c r="B21" s="54" t="str">
        <f>IF(MONTH(B20)&lt;&gt;MONTH($C$5),"",IF(COUNTIFS('Diario'!$D$5:$D$504,B20,'Diario'!$AH$5:$AH$504,1)=0,"",SUMIFS('Diario'!$R$5:$R$504,'Diario'!$D$5:$D$504,B20,'Diario'!$AH$5:$AH$504,1)))</f>
        <v/>
      </c>
      <c r="C21" s="54" t="str">
        <f>IF(MONTH(C20)&lt;&gt;MONTH($C$5),"",IF(COUNTIFS('Diario'!$D$5:$D$504,C20,'Diario'!$AH$5:$AH$504,1)=0,"",SUMIFS('Diario'!$R$5:$R$504,'Diario'!$D$5:$D$504,C20,'Diario'!$AH$5:$AH$504,1)))</f>
        <v/>
      </c>
      <c r="D21" s="54" t="str">
        <f>IF(MONTH(D20)&lt;&gt;MONTH($C$5),"",IF(COUNTIFS('Diario'!$D$5:$D$504,D20,'Diario'!$AH$5:$AH$504,1)=0,"",SUMIFS('Diario'!$R$5:$R$504,'Diario'!$D$5:$D$504,D20,'Diario'!$AH$5:$AH$504,1)))</f>
        <v/>
      </c>
      <c r="E21" s="54" t="str">
        <f>IF(MONTH(E20)&lt;&gt;MONTH($C$5),"",IF(COUNTIFS('Diario'!$D$5:$D$504,E20,'Diario'!$AH$5:$AH$504,1)=0,"",SUMIFS('Diario'!$R$5:$R$504,'Diario'!$D$5:$D$504,E20,'Diario'!$AH$5:$AH$504,1)))</f>
        <v/>
      </c>
      <c r="F21" s="54" t="str">
        <f>IF(MONTH(F20)&lt;&gt;MONTH($C$5),"",IF(COUNTIFS('Diario'!$D$5:$D$504,F20,'Diario'!$AH$5:$AH$504,1)=0,"",SUMIFS('Diario'!$R$5:$R$504,'Diario'!$D$5:$D$504,F20,'Diario'!$AH$5:$AH$504,1)))</f>
        <v/>
      </c>
      <c r="G21" s="54" t="str">
        <f>IF(MONTH(G20)&lt;&gt;MONTH($C$5),"",IF(COUNTIFS('Diario'!$D$5:$D$504,G20,'Diario'!$AH$5:$AH$504,1)=0,"",SUMIFS('Diario'!$R$5:$R$504,'Diario'!$D$5:$D$504,G20,'Diario'!$AH$5:$AH$504,1)))</f>
        <v/>
      </c>
      <c r="H21" s="54" t="str">
        <f>IF(MONTH(H20)&lt;&gt;MONTH($C$5),"",IF(COUNTIFS('Diario'!$D$5:$D$504,H20,'Diario'!$AH$5:$AH$504,1)=0,"",SUMIFS('Diario'!$R$5:$R$504,'Diario'!$D$5:$D$504,H20,'Diario'!$AH$5:$AH$504,1)))</f>
        <v/>
      </c>
      <c r="I21" s="55" t="str">
        <f>IF(COUNT(B21:H21)=0,"",SUM(B21:H21))</f>
        <v/>
      </c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</row>
    <row r="22" ht="14" customHeight="1">
      <c r="A22" s="1" t="n"/>
      <c r="B22" s="57" t="str">
        <f>IF(MONTH(B20)&lt;&gt;MONTH($C$5),"",IF(COUNTIFS('Diario'!$D$5:$D$504,B20,'Diario'!$AH$5:$AH$504,1)=0,"",COUNTIFS('Diario'!$D$5:$D$504,B20,'Diario'!$AH$5:$AH$504,1)))</f>
        <v/>
      </c>
      <c r="C22" s="57" t="str">
        <f>IF(MONTH(C20)&lt;&gt;MONTH($C$5),"",IF(COUNTIFS('Diario'!$D$5:$D$504,C20,'Diario'!$AH$5:$AH$504,1)=0,"",COUNTIFS('Diario'!$D$5:$D$504,C20,'Diario'!$AH$5:$AH$504,1)))</f>
        <v/>
      </c>
      <c r="D22" s="57" t="str">
        <f>IF(MONTH(D20)&lt;&gt;MONTH($C$5),"",IF(COUNTIFS('Diario'!$D$5:$D$504,D20,'Diario'!$AH$5:$AH$504,1)=0,"",COUNTIFS('Diario'!$D$5:$D$504,D20,'Diario'!$AH$5:$AH$504,1)))</f>
        <v/>
      </c>
      <c r="E22" s="57" t="str">
        <f>IF(MONTH(E20)&lt;&gt;MONTH($C$5),"",IF(COUNTIFS('Diario'!$D$5:$D$504,E20,'Diario'!$AH$5:$AH$504,1)=0,"",COUNTIFS('Diario'!$D$5:$D$504,E20,'Diario'!$AH$5:$AH$504,1)))</f>
        <v/>
      </c>
      <c r="F22" s="57" t="str">
        <f>IF(MONTH(F20)&lt;&gt;MONTH($C$5),"",IF(COUNTIFS('Diario'!$D$5:$D$504,F20,'Diario'!$AH$5:$AH$504,1)=0,"",COUNTIFS('Diario'!$D$5:$D$504,F20,'Diario'!$AH$5:$AH$504,1)))</f>
        <v/>
      </c>
      <c r="G22" s="57" t="str">
        <f>IF(MONTH(G20)&lt;&gt;MONTH($C$5),"",IF(COUNTIFS('Diario'!$D$5:$D$504,G20,'Diario'!$AH$5:$AH$504,1)=0,"",COUNTIFS('Diario'!$D$5:$D$504,G20,'Diario'!$AH$5:$AH$504,1)))</f>
        <v/>
      </c>
      <c r="H22" s="57" t="str">
        <f>IF(MONTH(H20)&lt;&gt;MONTH($C$5),"",IF(COUNTIFS('Diario'!$D$5:$D$504,H20,'Diario'!$AH$5:$AH$504,1)=0,"",COUNTIFS('Diario'!$D$5:$D$504,H20,'Diario'!$AH$5:$AH$504,1)))</f>
        <v/>
      </c>
      <c r="I22" s="58" t="str">
        <f>IF(COUNT(B22:H22)=0,"",SUM(B22:H22))</f>
        <v/>
      </c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</row>
    <row r="23" ht="16" customHeight="1">
      <c r="A23" s="1" t="n"/>
      <c r="B23" s="52">
        <f>$AB$5+35</f>
        <v>46328</v>
      </c>
      <c r="C23" s="52">
        <f>$AB$5+36</f>
        <v>46329</v>
      </c>
      <c r="D23" s="52">
        <f>$AB$5+37</f>
        <v>46330</v>
      </c>
      <c r="E23" s="52">
        <f>$AB$5+38</f>
        <v>46331</v>
      </c>
      <c r="F23" s="52">
        <f>$AB$5+39</f>
        <v>46332</v>
      </c>
      <c r="G23" s="52">
        <f>$AB$5+40</f>
        <v>46333</v>
      </c>
      <c r="H23" s="52">
        <f>$AB$5+41</f>
        <v>46334</v>
      </c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</row>
    <row r="24" ht="24" customHeight="1">
      <c r="A24" s="1" t="n"/>
      <c r="B24" s="54" t="str">
        <f>IF(MONTH(B23)&lt;&gt;MONTH($C$5),"",IF(COUNTIFS('Diario'!$D$5:$D$504,B23,'Diario'!$AH$5:$AH$504,1)=0,"",SUMIFS('Diario'!$R$5:$R$504,'Diario'!$D$5:$D$504,B23,'Diario'!$AH$5:$AH$504,1)))</f>
        <v/>
      </c>
      <c r="C24" s="54" t="str">
        <f>IF(MONTH(C23)&lt;&gt;MONTH($C$5),"",IF(COUNTIFS('Diario'!$D$5:$D$504,C23,'Diario'!$AH$5:$AH$504,1)=0,"",SUMIFS('Diario'!$R$5:$R$504,'Diario'!$D$5:$D$504,C23,'Diario'!$AH$5:$AH$504,1)))</f>
        <v/>
      </c>
      <c r="D24" s="54" t="str">
        <f>IF(MONTH(D23)&lt;&gt;MONTH($C$5),"",IF(COUNTIFS('Diario'!$D$5:$D$504,D23,'Diario'!$AH$5:$AH$504,1)=0,"",SUMIFS('Diario'!$R$5:$R$504,'Diario'!$D$5:$D$504,D23,'Diario'!$AH$5:$AH$504,1)))</f>
        <v/>
      </c>
      <c r="E24" s="54" t="str">
        <f>IF(MONTH(E23)&lt;&gt;MONTH($C$5),"",IF(COUNTIFS('Diario'!$D$5:$D$504,E23,'Diario'!$AH$5:$AH$504,1)=0,"",SUMIFS('Diario'!$R$5:$R$504,'Diario'!$D$5:$D$504,E23,'Diario'!$AH$5:$AH$504,1)))</f>
        <v/>
      </c>
      <c r="F24" s="54" t="str">
        <f>IF(MONTH(F23)&lt;&gt;MONTH($C$5),"",IF(COUNTIFS('Diario'!$D$5:$D$504,F23,'Diario'!$AH$5:$AH$504,1)=0,"",SUMIFS('Diario'!$R$5:$R$504,'Diario'!$D$5:$D$504,F23,'Diario'!$AH$5:$AH$504,1)))</f>
        <v/>
      </c>
      <c r="G24" s="54" t="str">
        <f>IF(MONTH(G23)&lt;&gt;MONTH($C$5),"",IF(COUNTIFS('Diario'!$D$5:$D$504,G23,'Diario'!$AH$5:$AH$504,1)=0,"",SUMIFS('Diario'!$R$5:$R$504,'Diario'!$D$5:$D$504,G23,'Diario'!$AH$5:$AH$504,1)))</f>
        <v/>
      </c>
      <c r="H24" s="54" t="str">
        <f>IF(MONTH(H23)&lt;&gt;MONTH($C$5),"",IF(COUNTIFS('Diario'!$D$5:$D$504,H23,'Diario'!$AH$5:$AH$504,1)=0,"",SUMIFS('Diario'!$R$5:$R$504,'Diario'!$D$5:$D$504,H23,'Diario'!$AH$5:$AH$504,1)))</f>
        <v/>
      </c>
      <c r="I24" s="55" t="str">
        <f>IF(COUNT(B24:H24)=0,"",SUM(B24:H24))</f>
        <v/>
      </c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</row>
    <row r="25" ht="14" customHeight="1">
      <c r="A25" s="1" t="n"/>
      <c r="B25" s="57" t="str">
        <f>IF(MONTH(B23)&lt;&gt;MONTH($C$5),"",IF(COUNTIFS('Diario'!$D$5:$D$504,B23,'Diario'!$AH$5:$AH$504,1)=0,"",COUNTIFS('Diario'!$D$5:$D$504,B23,'Diario'!$AH$5:$AH$504,1)))</f>
        <v/>
      </c>
      <c r="C25" s="57" t="str">
        <f>IF(MONTH(C23)&lt;&gt;MONTH($C$5),"",IF(COUNTIFS('Diario'!$D$5:$D$504,C23,'Diario'!$AH$5:$AH$504,1)=0,"",COUNTIFS('Diario'!$D$5:$D$504,C23,'Diario'!$AH$5:$AH$504,1)))</f>
        <v/>
      </c>
      <c r="D25" s="57" t="str">
        <f>IF(MONTH(D23)&lt;&gt;MONTH($C$5),"",IF(COUNTIFS('Diario'!$D$5:$D$504,D23,'Diario'!$AH$5:$AH$504,1)=0,"",COUNTIFS('Diario'!$D$5:$D$504,D23,'Diario'!$AH$5:$AH$504,1)))</f>
        <v/>
      </c>
      <c r="E25" s="57" t="str">
        <f>IF(MONTH(E23)&lt;&gt;MONTH($C$5),"",IF(COUNTIFS('Diario'!$D$5:$D$504,E23,'Diario'!$AH$5:$AH$504,1)=0,"",COUNTIFS('Diario'!$D$5:$D$504,E23,'Diario'!$AH$5:$AH$504,1)))</f>
        <v/>
      </c>
      <c r="F25" s="57" t="str">
        <f>IF(MONTH(F23)&lt;&gt;MONTH($C$5),"",IF(COUNTIFS('Diario'!$D$5:$D$504,F23,'Diario'!$AH$5:$AH$504,1)=0,"",COUNTIFS('Diario'!$D$5:$D$504,F23,'Diario'!$AH$5:$AH$504,1)))</f>
        <v/>
      </c>
      <c r="G25" s="57" t="str">
        <f>IF(MONTH(G23)&lt;&gt;MONTH($C$5),"",IF(COUNTIFS('Diario'!$D$5:$D$504,G23,'Diario'!$AH$5:$AH$504,1)=0,"",COUNTIFS('Diario'!$D$5:$D$504,G23,'Diario'!$AH$5:$AH$504,1)))</f>
        <v/>
      </c>
      <c r="H25" s="57" t="str">
        <f>IF(MONTH(H23)&lt;&gt;MONTH($C$5),"",IF(COUNTIFS('Diario'!$D$5:$D$504,H23,'Diario'!$AH$5:$AH$504,1)=0,"",COUNTIFS('Diario'!$D$5:$D$504,H23,'Diario'!$AH$5:$AH$504,1)))</f>
        <v/>
      </c>
      <c r="I25" s="58" t="str">
        <f>IF(COUNT(B25:H25)=0,"",SUM(B25:H25))</f>
        <v/>
      </c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</row>
  </sheetData>
  <mergeCells count="1">
    <mergeCell ref="C5:D5"/>
  </mergeCells>
  <conditionalFormatting sqref="B8:H10">
    <cfRule type="expression" priority="1" dxfId="2">
      <formula>AND(ISNUMBER(B$9),B$9&gt;0)</formula>
    </cfRule>
    <cfRule type="expression" priority="2" dxfId="3">
      <formula>AND(ISNUMBER(B$9),B$9&lt;0)</formula>
    </cfRule>
  </conditionalFormatting>
  <conditionalFormatting sqref="B8:H8">
    <cfRule type="expression" priority="3" dxfId="4">
      <formula>MONTH(B8)&lt;&gt;MONTH($C$5)</formula>
    </cfRule>
  </conditionalFormatting>
  <conditionalFormatting sqref="B9:I9">
    <cfRule type="expression" priority="4" dxfId="0">
      <formula>AND(ISNUMBER(B9),B9&gt;0)</formula>
    </cfRule>
    <cfRule type="expression" priority="5" dxfId="1">
      <formula>AND(ISNUMBER(B9),B9&lt;0)</formula>
    </cfRule>
  </conditionalFormatting>
  <conditionalFormatting sqref="B11:H13">
    <cfRule type="expression" priority="6" dxfId="2">
      <formula>AND(ISNUMBER(B$12),B$12&gt;0)</formula>
    </cfRule>
    <cfRule type="expression" priority="7" dxfId="3">
      <formula>AND(ISNUMBER(B$12),B$12&lt;0)</formula>
    </cfRule>
  </conditionalFormatting>
  <conditionalFormatting sqref="B11:H11">
    <cfRule type="expression" priority="8" dxfId="4">
      <formula>MONTH(B11)&lt;&gt;MONTH($C$5)</formula>
    </cfRule>
  </conditionalFormatting>
  <conditionalFormatting sqref="B12:I12">
    <cfRule type="expression" priority="9" dxfId="0">
      <formula>AND(ISNUMBER(B12),B12&gt;0)</formula>
    </cfRule>
    <cfRule type="expression" priority="10" dxfId="1">
      <formula>AND(ISNUMBER(B12),B12&lt;0)</formula>
    </cfRule>
  </conditionalFormatting>
  <conditionalFormatting sqref="B14:H16">
    <cfRule type="expression" priority="11" dxfId="2">
      <formula>AND(ISNUMBER(B$15),B$15&gt;0)</formula>
    </cfRule>
    <cfRule type="expression" priority="12" dxfId="3">
      <formula>AND(ISNUMBER(B$15),B$15&lt;0)</formula>
    </cfRule>
  </conditionalFormatting>
  <conditionalFormatting sqref="B14:H14">
    <cfRule type="expression" priority="13" dxfId="4">
      <formula>MONTH(B14)&lt;&gt;MONTH($C$5)</formula>
    </cfRule>
  </conditionalFormatting>
  <conditionalFormatting sqref="B15:I15">
    <cfRule type="expression" priority="14" dxfId="0">
      <formula>AND(ISNUMBER(B15),B15&gt;0)</formula>
    </cfRule>
    <cfRule type="expression" priority="15" dxfId="1">
      <formula>AND(ISNUMBER(B15),B15&lt;0)</formula>
    </cfRule>
  </conditionalFormatting>
  <conditionalFormatting sqref="B17:H19">
    <cfRule type="expression" priority="16" dxfId="2">
      <formula>AND(ISNUMBER(B$18),B$18&gt;0)</formula>
    </cfRule>
    <cfRule type="expression" priority="17" dxfId="3">
      <formula>AND(ISNUMBER(B$18),B$18&lt;0)</formula>
    </cfRule>
  </conditionalFormatting>
  <conditionalFormatting sqref="B17:H17">
    <cfRule type="expression" priority="18" dxfId="4">
      <formula>MONTH(B17)&lt;&gt;MONTH($C$5)</formula>
    </cfRule>
  </conditionalFormatting>
  <conditionalFormatting sqref="B18:I18">
    <cfRule type="expression" priority="19" dxfId="0">
      <formula>AND(ISNUMBER(B18),B18&gt;0)</formula>
    </cfRule>
    <cfRule type="expression" priority="20" dxfId="1">
      <formula>AND(ISNUMBER(B18),B18&lt;0)</formula>
    </cfRule>
  </conditionalFormatting>
  <conditionalFormatting sqref="B20:H22">
    <cfRule type="expression" priority="21" dxfId="2">
      <formula>AND(ISNUMBER(B$21),B$21&gt;0)</formula>
    </cfRule>
    <cfRule type="expression" priority="22" dxfId="3">
      <formula>AND(ISNUMBER(B$21),B$21&lt;0)</formula>
    </cfRule>
  </conditionalFormatting>
  <conditionalFormatting sqref="B20:H20">
    <cfRule type="expression" priority="23" dxfId="4">
      <formula>MONTH(B20)&lt;&gt;MONTH($C$5)</formula>
    </cfRule>
  </conditionalFormatting>
  <conditionalFormatting sqref="B21:I21">
    <cfRule type="expression" priority="24" dxfId="0">
      <formula>AND(ISNUMBER(B21),B21&gt;0)</formula>
    </cfRule>
    <cfRule type="expression" priority="25" dxfId="1">
      <formula>AND(ISNUMBER(B21),B21&lt;0)</formula>
    </cfRule>
  </conditionalFormatting>
  <conditionalFormatting sqref="B23:H25">
    <cfRule type="expression" priority="26" dxfId="2">
      <formula>AND(ISNUMBER(B$24),B$24&gt;0)</formula>
    </cfRule>
    <cfRule type="expression" priority="27" dxfId="3">
      <formula>AND(ISNUMBER(B$24),B$24&lt;0)</formula>
    </cfRule>
  </conditionalFormatting>
  <conditionalFormatting sqref="B23:H23">
    <cfRule type="expression" priority="28" dxfId="4">
      <formula>MONTH(B23)&lt;&gt;MONTH($C$5)</formula>
    </cfRule>
  </conditionalFormatting>
  <conditionalFormatting sqref="B24:I24">
    <cfRule type="expression" priority="29" dxfId="0">
      <formula>AND(ISNUMBER(B24),B24&gt;0)</formula>
    </cfRule>
    <cfRule type="expression" priority="30" dxfId="1">
      <formula>AND(ISNUMBER(B24),B24&lt;0)</formula>
    </cfRule>
  </conditionalFormatting>
  <conditionalFormatting sqref="L8">
    <cfRule type="expression" priority="31" dxfId="0">
      <formula>AND(ISNUMBER(L8),L8&gt;0)</formula>
    </cfRule>
    <cfRule type="expression" priority="32" dxfId="1">
      <formula>AND(ISNUMBER(L8),L8&lt;0)</formula>
    </cfRule>
  </conditionalFormatting>
  <conditionalFormatting sqref="L12:L13">
    <cfRule type="expression" priority="33" dxfId="0">
      <formula>AND(ISNUMBER(L12),L12&gt;0)</formula>
    </cfRule>
    <cfRule type="expression" priority="34" dxfId="1">
      <formula>AND(ISNUMBER(L12),L12&lt;0)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A1A1AA"/>
    <outlinePr summaryBelow="1" summaryRight="1"/>
    <pageSetUpPr/>
  </sheetPr>
  <dimension ref="A1:P11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8" customWidth="1" min="4" max="4"/>
    <col width="14" customWidth="1" min="5" max="5"/>
    <col width="30" customWidth="1" min="6" max="6"/>
    <col width="14" customWidth="1" min="7" max="7"/>
    <col width="18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1" t="n"/>
      <c r="B2" s="15" t="inlineStr">
        <is>
          <t>Prop challenge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>
      <c r="A3" s="1" t="n"/>
      <c r="B3" s="16" t="inlineStr">
        <is>
          <t>Las reglas de tu challenge, el margen que te queda hoy y en total, y un control día a día.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</row>
    <row r="5">
      <c r="A5" s="1" t="n"/>
      <c r="B5" s="4" t="inlineStr">
        <is>
          <t>Reglas</t>
        </is>
      </c>
      <c r="C5" s="1" t="n"/>
      <c r="D5" s="1" t="n"/>
      <c r="E5" s="1" t="n"/>
      <c r="F5" s="4" t="inlineStr">
        <is>
          <t>Estado</t>
        </is>
      </c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</row>
    <row r="6">
      <c r="A6" s="1" t="n"/>
      <c r="B6" s="5" t="inlineStr">
        <is>
          <t>Empresa / programa</t>
        </is>
      </c>
      <c r="C6" s="1" t="n"/>
      <c r="D6" s="59" t="inlineStr">
        <is>
          <t>Ejemplo: 2 fases, fase 1</t>
        </is>
      </c>
      <c r="E6" s="1" t="n"/>
      <c r="F6" s="5" t="inlineStr">
        <is>
          <t>Saldo</t>
        </is>
      </c>
      <c r="G6" s="1" t="n"/>
      <c r="H6" s="60">
        <f>$D$8+H7</f>
        <v>10624.800000000003</v>
      </c>
      <c r="I6" s="1" t="n"/>
      <c r="J6" s="1" t="n"/>
      <c r="K6" s="1" t="n"/>
      <c r="L6" s="1" t="n"/>
      <c r="M6" s="1" t="n"/>
      <c r="N6" s="1" t="n"/>
      <c r="O6" s="1" t="n"/>
      <c r="P6" s="1" t="n"/>
    </row>
    <row r="7">
      <c r="A7" s="1" t="n"/>
      <c r="B7" s="5" t="inlineStr">
        <is>
          <t>Cuenta (vacío = todas)</t>
        </is>
      </c>
      <c r="C7" s="1" t="n"/>
      <c r="D7" s="59" t="inlineStr">
        <is>
          <t>Challenge 10K</t>
        </is>
      </c>
      <c r="E7" s="1" t="n"/>
      <c r="F7" s="5" t="inlineStr">
        <is>
          <t>P&amp;L neto desde el inicio</t>
        </is>
      </c>
      <c r="G7" s="1" t="n"/>
      <c r="H7" s="60">
        <f>SUMIFS('Diario'!$R$5:$R$504,'Diario'!$AU$5:$AU$504,1)</f>
        <v>624.8000000000027</v>
      </c>
      <c r="I7" s="1" t="n"/>
      <c r="J7" s="1" t="n"/>
      <c r="K7" s="1" t="n"/>
      <c r="L7" s="1" t="n"/>
      <c r="M7" s="1" t="n"/>
      <c r="N7" s="1" t="n"/>
      <c r="O7" s="1" t="n"/>
      <c r="P7" s="1" t="n"/>
    </row>
    <row r="8">
      <c r="A8" s="1" t="n"/>
      <c r="B8" s="5" t="inlineStr">
        <is>
          <t>Tamaño de cuenta</t>
        </is>
      </c>
      <c r="C8" s="1" t="n"/>
      <c r="D8" s="61" t="n">
        <v>10000</v>
      </c>
      <c r="E8" s="1" t="n"/>
      <c r="F8" s="5" t="inlineStr">
        <is>
          <t>Progreso al objetivo</t>
        </is>
      </c>
      <c r="G8" s="1" t="n"/>
      <c r="H8" s="62">
        <f>IF(OR($D$8=0,$D$10=0),"",H7/($D$8*$D$10))</f>
        <v>0.6248000000000027</v>
      </c>
      <c r="I8" s="1" t="n"/>
      <c r="J8" s="1" t="n"/>
      <c r="K8" s="1" t="n"/>
      <c r="L8" s="1" t="n"/>
      <c r="M8" s="1" t="n"/>
      <c r="N8" s="1" t="n"/>
      <c r="O8" s="1" t="n"/>
      <c r="P8" s="1" t="n"/>
    </row>
    <row r="9">
      <c r="A9" s="1" t="n"/>
      <c r="B9" s="5" t="inlineStr">
        <is>
          <t>Fecha de inicio</t>
        </is>
      </c>
      <c r="C9" s="1" t="n"/>
      <c r="D9" s="63" t="n">
        <v>46296</v>
      </c>
      <c r="E9" s="1" t="n"/>
      <c r="F9" s="5" t="inlineStr">
        <is>
          <t>Días operados</t>
        </is>
      </c>
      <c r="G9" s="1" t="n"/>
      <c r="H9" s="64">
        <f>SUM('Diario'!$AV$5:$AV$504)</f>
        <v>8</v>
      </c>
      <c r="I9" s="1" t="n"/>
      <c r="J9" s="1" t="n"/>
      <c r="K9" s="1" t="n"/>
      <c r="L9" s="1" t="n"/>
      <c r="M9" s="1" t="n"/>
      <c r="N9" s="1" t="n"/>
      <c r="O9" s="1" t="n"/>
      <c r="P9" s="1" t="n"/>
    </row>
    <row r="10">
      <c r="A10" s="1" t="n"/>
      <c r="B10" s="5" t="inlineStr">
        <is>
          <t>Objetivo de beneficio</t>
        </is>
      </c>
      <c r="C10" s="1" t="n"/>
      <c r="D10" s="65" t="n">
        <v>0.1</v>
      </c>
      <c r="E10" s="1" t="n"/>
      <c r="F10" s="5" t="inlineStr">
        <is>
          <t>P&amp;L del último día</t>
        </is>
      </c>
      <c r="G10" s="1" t="n"/>
      <c r="H10" s="60">
        <f>IF(H9=0,"",SUMIFS('Diario'!$R$5:$R$504,'Diario'!$D$5:$D$504,_xlfn.MAXIFS('Diario'!$D$5:$D$504,'Diario'!$AU$5:$AU$504,1),'Diario'!$AU$5:$AU$504,1))</f>
        <v>-90</v>
      </c>
      <c r="I10" s="1" t="n"/>
      <c r="J10" s="1" t="n"/>
      <c r="K10" s="1" t="n"/>
      <c r="L10" s="1" t="n"/>
      <c r="M10" s="1" t="n"/>
      <c r="N10" s="1" t="n"/>
      <c r="O10" s="1" t="n"/>
      <c r="P10" s="1" t="n"/>
    </row>
    <row r="11">
      <c r="A11" s="1" t="n"/>
      <c r="B11" s="5" t="inlineStr">
        <is>
          <t>Límite de pérdida diaria</t>
        </is>
      </c>
      <c r="C11" s="1" t="n"/>
      <c r="D11" s="65" t="n">
        <v>0.05</v>
      </c>
      <c r="E11" s="1" t="n"/>
      <c r="F11" s="5" t="inlineStr">
        <is>
          <t>Margen diario restante (último día)</t>
        </is>
      </c>
      <c r="G11" s="1" t="n"/>
      <c r="H11" s="60">
        <f>IF(H9=0,$D$8*$D$11,$D$8*$D$11+MIN(0,H10))</f>
        <v>410</v>
      </c>
      <c r="I11" s="1" t="n"/>
      <c r="J11" s="1" t="n"/>
      <c r="K11" s="1" t="n"/>
      <c r="L11" s="1" t="n"/>
      <c r="M11" s="1" t="n"/>
      <c r="N11" s="1" t="n"/>
      <c r="O11" s="1" t="n"/>
      <c r="P11" s="1" t="n"/>
    </row>
    <row r="12">
      <c r="A12" s="1" t="n"/>
      <c r="B12" s="5" t="inlineStr">
        <is>
          <t>Límite de pérdida máxima</t>
        </is>
      </c>
      <c r="C12" s="1" t="n"/>
      <c r="D12" s="65" t="n">
        <v>0.1</v>
      </c>
      <c r="E12" s="1" t="n"/>
      <c r="F12" s="5" t="inlineStr">
        <is>
          <t>Suelo de pérdida máxima</t>
        </is>
      </c>
      <c r="G12" s="1" t="n"/>
      <c r="H12" s="60">
        <f>IF($D$13="Trailing (cierre del día)",MIN($D$8,MAX($D$8,MAX(E27:E86))-$D$8*$D$12),$D$8*(1-$D$12))</f>
        <v>9000</v>
      </c>
      <c r="I12" s="1" t="n"/>
      <c r="J12" s="1" t="n"/>
      <c r="K12" s="1" t="n"/>
      <c r="L12" s="1" t="n"/>
      <c r="M12" s="1" t="n"/>
      <c r="N12" s="1" t="n"/>
      <c r="O12" s="1" t="n"/>
      <c r="P12" s="1" t="n"/>
    </row>
    <row r="13">
      <c r="A13" s="1" t="n"/>
      <c r="B13" s="5" t="inlineStr">
        <is>
          <t>Tipo de pérdida máxima</t>
        </is>
      </c>
      <c r="C13" s="1" t="n"/>
      <c r="D13" s="59" t="inlineStr">
        <is>
          <t>Estático</t>
        </is>
      </c>
      <c r="E13" s="1" t="n"/>
      <c r="F13" s="5" t="inlineStr">
        <is>
          <t>Margen hasta el suelo</t>
        </is>
      </c>
      <c r="G13" s="1" t="n"/>
      <c r="H13" s="60">
        <f>H6-H12</f>
        <v>1624.800000000003</v>
      </c>
      <c r="I13" s="1" t="n"/>
      <c r="J13" s="1" t="n"/>
      <c r="K13" s="1" t="n"/>
      <c r="L13" s="1" t="n"/>
      <c r="M13" s="1" t="n"/>
      <c r="N13" s="1" t="n"/>
      <c r="O13" s="1" t="n"/>
      <c r="P13" s="1" t="n"/>
    </row>
    <row r="14">
      <c r="A14" s="1" t="n"/>
      <c r="B14" s="5" t="inlineStr">
        <is>
          <t>Días mínimos de trading</t>
        </is>
      </c>
      <c r="C14" s="1" t="n"/>
      <c r="D14" s="66" t="n">
        <v>4</v>
      </c>
      <c r="E14" s="1" t="n"/>
      <c r="F14" s="5" t="inlineStr">
        <is>
          <t>Peso del mejor día en el beneficio</t>
        </is>
      </c>
      <c r="G14" s="1" t="n"/>
      <c r="H14" s="62">
        <f>IF(OR(H7&lt;=0,COUNT('Diario'!$AX$5:$AX$504)=0),"",MAX('Diario'!$AX$5:$AX$504)/H7)</f>
        <v>0.3796414852752868</v>
      </c>
      <c r="I14" s="1" t="n"/>
      <c r="J14" s="1" t="n"/>
      <c r="K14" s="1" t="n"/>
      <c r="L14" s="1" t="n"/>
      <c r="M14" s="1" t="n"/>
      <c r="N14" s="1" t="n"/>
      <c r="O14" s="1" t="n"/>
      <c r="P14" s="1" t="n"/>
    </row>
    <row r="15">
      <c r="A15" s="1" t="n"/>
      <c r="B15" s="5" t="inlineStr">
        <is>
          <t>Consistencia: peso máx. del mejor día (opcional)</t>
        </is>
      </c>
      <c r="C15" s="1" t="n"/>
      <c r="D15" s="65" t="n"/>
      <c r="E15" s="1" t="n"/>
      <c r="F15" s="5" t="inlineStr">
        <is>
          <t>Resultado</t>
        </is>
      </c>
      <c r="G15" s="1" t="n"/>
      <c r="H15" s="67" t="str">
        <f>IF(COUNTIF(H27:H86,"Pérdida máx. alcanzada")&gt;0,"Suspendido: pérdida máxima",IF(COUNTIF(H27:H86,"Pérdida diaria alcanzada")&gt;0,"Suspendido: pérdida diaria",IF(AND(H8&gt;=1,H9&gt;=$D$14,OR($D$15="",N(H14)&lt;=$D$15)),"Objetivo cumplido, reglas OK",IF(H8&gt;=1,"Objetivo cumplido, reglas pendientes","En curso"))))</f>
        <v>En curso</v>
      </c>
      <c r="I15" s="1" t="n"/>
      <c r="J15" s="1" t="n"/>
      <c r="K15" s="1" t="n"/>
      <c r="L15" s="1" t="n"/>
      <c r="M15" s="1" t="n"/>
      <c r="N15" s="1" t="n"/>
      <c r="O15" s="1" t="n"/>
      <c r="P15" s="1" t="n"/>
    </row>
    <row r="16">
      <c r="A16" s="1" t="n"/>
      <c r="B16" s="68" t="inlineStr">
        <is>
          <t>Los límites son un porcentaje del tamaño de cuenta. La pérdida diaria se mide desde el saldo al inicio de cada día. Revisa las reglas exactas de tu empresa: algunas cuentan la equity o reinician a una hora de servidor fija.</t>
        </is>
      </c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A17" s="1" t="n"/>
      <c r="E17" s="1" t="n"/>
      <c r="F17" s="69" t="inlineStr">
        <is>
          <t>Progreso</t>
        </is>
      </c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</row>
    <row r="18">
      <c r="A18" s="1" t="n"/>
      <c r="E18" s="1" t="n"/>
      <c r="F18" s="70" t="str">
        <f>IF(H8="","",REPT("█",MAX(0,MIN(20,ROUND(H8*20,0))))&amp;REPT("░",20-MAX(0,MIN(20,ROUND(H8*20,0)))))</f>
        <v>████████████░░░░░░░░</v>
      </c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</row>
    <row r="19">
      <c r="A19" s="1" t="n"/>
      <c r="B19" s="1" t="n"/>
      <c r="C19" s="1" t="n"/>
      <c r="D19" s="1" t="n"/>
      <c r="E19" s="1" t="n"/>
      <c r="F19" s="68" t="inlineStr">
        <is>
          <t>Trailing (cierre del día): el suelo sigue el saldo de cierre más alto y se detiene en el saldo inicial.</t>
        </is>
      </c>
      <c r="I19" s="1" t="n"/>
      <c r="J19" s="1" t="n"/>
      <c r="K19" s="1" t="n"/>
      <c r="L19" s="1" t="n"/>
      <c r="M19" s="1" t="n"/>
      <c r="N19" s="1" t="n"/>
      <c r="O19" s="1" t="n"/>
      <c r="P19" s="1" t="n"/>
    </row>
    <row r="20">
      <c r="A20" s="1" t="n"/>
      <c r="B20" s="1" t="n"/>
      <c r="C20" s="1" t="n"/>
      <c r="D20" s="1" t="n"/>
      <c r="E20" s="1" t="n"/>
      <c r="I20" s="1" t="n"/>
      <c r="J20" s="1" t="n"/>
      <c r="K20" s="1" t="n"/>
      <c r="L20" s="1" t="n"/>
      <c r="M20" s="1" t="n"/>
      <c r="N20" s="1" t="n"/>
      <c r="O20" s="1" t="n"/>
      <c r="P20" s="1" t="n"/>
    </row>
    <row r="21">
      <c r="A21" s="1" t="n"/>
      <c r="B21" s="1" t="n"/>
      <c r="C21" s="1" t="n"/>
      <c r="D21" s="1" t="n"/>
      <c r="E21" s="1" t="n"/>
      <c r="I21" s="1" t="n"/>
      <c r="J21" s="1" t="n"/>
      <c r="K21" s="1" t="n"/>
      <c r="L21" s="1" t="n"/>
      <c r="M21" s="1" t="n"/>
      <c r="N21" s="1" t="n"/>
      <c r="O21" s="1" t="n"/>
      <c r="P21" s="1" t="n"/>
    </row>
    <row r="22">
      <c r="A22" s="1" t="n"/>
      <c r="B22" s="1" t="n"/>
      <c r="C22" s="1" t="n"/>
      <c r="D22" s="1" t="n"/>
      <c r="E22" s="1" t="n"/>
      <c r="I22" s="1" t="n"/>
      <c r="J22" s="1" t="n"/>
      <c r="K22" s="1" t="n"/>
      <c r="L22" s="1" t="n"/>
      <c r="M22" s="1" t="n"/>
      <c r="N22" s="1" t="n"/>
      <c r="O22" s="1" t="n"/>
      <c r="P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</row>
    <row r="24">
      <c r="A24" s="1" t="n"/>
      <c r="B24" s="4" t="inlineStr">
        <is>
          <t>Día a día</t>
        </is>
      </c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</row>
    <row r="26">
      <c r="A26" s="1" t="n"/>
      <c r="B26" s="43" t="inlineStr">
        <is>
          <t>Día</t>
        </is>
      </c>
      <c r="C26" s="43" t="inlineStr">
        <is>
          <t>Fecha</t>
        </is>
      </c>
      <c r="D26" s="43" t="inlineStr">
        <is>
          <t>P&amp;L del día</t>
        </is>
      </c>
      <c r="E26" s="43" t="inlineStr">
        <is>
          <t>Saldo final</t>
        </is>
      </c>
      <c r="F26" s="43" t="inlineStr">
        <is>
          <t>Suelo diario</t>
        </is>
      </c>
      <c r="G26" s="43" t="inlineStr">
        <is>
          <t>Suelo máx.</t>
        </is>
      </c>
      <c r="H26" s="43" t="inlineStr">
        <is>
          <t>Control</t>
        </is>
      </c>
      <c r="I26" s="1" t="n"/>
      <c r="J26" s="1" t="n"/>
      <c r="K26" s="1" t="n"/>
      <c r="L26" s="1" t="n"/>
      <c r="M26" s="1" t="n"/>
      <c r="N26" s="1" t="n"/>
      <c r="O26" s="1" t="n"/>
      <c r="P26" s="1" t="n"/>
    </row>
    <row r="27">
      <c r="A27" s="1" t="n"/>
      <c r="B27" s="71">
        <f>IF(1&gt;$H$9,"",1)</f>
        <v>1</v>
      </c>
      <c r="C27" s="72">
        <f>IF(B27="","",INDEX('Diario'!$D$5:$D$504,MATCH(1,'Diario'!$AW$5:$AW$504,0)))</f>
        <v>46297</v>
      </c>
      <c r="D27" s="47">
        <f>IF(B27="","",INDEX('Diario'!$AX$5:$AX$504,MATCH(1,'Diario'!$AW$5:$AW$504,0)))</f>
        <v>180</v>
      </c>
      <c r="E27" s="47">
        <f>IF(B27="","",$D$8+D27)</f>
        <v>10180</v>
      </c>
      <c r="F27" s="47">
        <f>IF(B27="","",$D$8-$D$8*$D$11)</f>
        <v>9500</v>
      </c>
      <c r="G27" s="47">
        <f>IF(B27="","",IF($D$13="Trailing (cierre del día)",MIN($D$8,$D$8-$D$8*$D$12),$D$8*(1-$D$12)))</f>
        <v>9000</v>
      </c>
      <c r="H27" s="73" t="str">
        <f>IF(B27="","",IF(E27&lt;=G27,"Pérdida máx. alcanzada",IF(D27&lt;=-$D$8*$D$11,"Pérdida diaria alcanzada","")))</f>
        <v/>
      </c>
      <c r="I27" s="1" t="n"/>
      <c r="J27" s="1" t="n"/>
      <c r="K27" s="1" t="n"/>
      <c r="L27" s="1" t="n"/>
      <c r="M27" s="1" t="n"/>
      <c r="N27" s="1" t="n"/>
      <c r="O27" s="1" t="n"/>
      <c r="P27" s="1" t="n"/>
    </row>
    <row r="28">
      <c r="A28" s="1" t="n"/>
      <c r="B28" s="71">
        <f>IF(2&gt;$H$9,"",2)</f>
        <v>2</v>
      </c>
      <c r="C28" s="72">
        <f>IF(B28="","",INDEX('Diario'!$D$5:$D$504,MATCH(2,'Diario'!$AW$5:$AW$504,0)))</f>
        <v>46300</v>
      </c>
      <c r="D28" s="47">
        <f>IF(B28="","",INDEX('Diario'!$AX$5:$AX$504,MATCH(2,'Diario'!$AW$5:$AW$504,0)))</f>
        <v>96</v>
      </c>
      <c r="E28" s="47">
        <f>IF(B28="","",E27+D28)</f>
        <v>10276</v>
      </c>
      <c r="F28" s="47">
        <f>IF(B28="","",E27-$D$8*$D$11)</f>
        <v>9680</v>
      </c>
      <c r="G28" s="47">
        <f>IF(B28="","",IF($D$13="Trailing (cierre del día)",MIN($D$8,MAX($D$8,MAX(E$27:E27))-$D$8*$D$12),$D$8*(1-$D$12)))</f>
        <v>9000</v>
      </c>
      <c r="H28" s="73" t="str">
        <f>IF(B28="","",IF(E28&lt;=G28,"Pérdida máx. alcanzada",IF(D28&lt;=-$D$8*$D$11,"Pérdida diaria alcanzada","")))</f>
        <v/>
      </c>
      <c r="I28" s="1" t="n"/>
      <c r="J28" s="1" t="n"/>
      <c r="K28" s="1" t="n"/>
      <c r="L28" s="1" t="n"/>
      <c r="M28" s="1" t="n"/>
      <c r="N28" s="1" t="n"/>
      <c r="O28" s="1" t="n"/>
      <c r="P28" s="1" t="n"/>
    </row>
    <row r="29">
      <c r="A29" s="1" t="n"/>
      <c r="B29" s="71">
        <f>IF(3&gt;$H$9,"",3)</f>
        <v>3</v>
      </c>
      <c r="C29" s="72">
        <f>IF(B29="","",INDEX('Diario'!$D$5:$D$504,MATCH(3,'Diario'!$AW$5:$AW$504,0)))</f>
        <v>46302</v>
      </c>
      <c r="D29" s="47">
        <f>IF(B29="","",INDEX('Diario'!$AX$5:$AX$504,MATCH(3,'Diario'!$AW$5:$AW$504,0)))</f>
        <v>-102.79999999999788</v>
      </c>
      <c r="E29" s="47">
        <f>IF(B29="","",E28+D29)</f>
        <v>10173.200000000003</v>
      </c>
      <c r="F29" s="47">
        <f>IF(B29="","",E28-$D$8*$D$11)</f>
        <v>9776</v>
      </c>
      <c r="G29" s="47">
        <f>IF(B29="","",IF($D$13="Trailing (cierre del día)",MIN($D$8,MAX($D$8,MAX(E$27:E28))-$D$8*$D$12),$D$8*(1-$D$12)))</f>
        <v>9000</v>
      </c>
      <c r="H29" s="73" t="str">
        <f>IF(B29="","",IF(E29&lt;=G29,"Pérdida máx. alcanzada",IF(D29&lt;=-$D$8*$D$11,"Pérdida diaria alcanzada","")))</f>
        <v/>
      </c>
      <c r="I29" s="1" t="n"/>
      <c r="J29" s="1" t="n"/>
      <c r="K29" s="1" t="n"/>
      <c r="L29" s="1" t="n"/>
      <c r="M29" s="1" t="n"/>
      <c r="N29" s="1" t="n"/>
      <c r="O29" s="1" t="n"/>
      <c r="P29" s="1" t="n"/>
    </row>
    <row r="30">
      <c r="A30" s="1" t="n"/>
      <c r="B30" s="71">
        <f>IF(4&gt;$H$9,"",4)</f>
        <v>4</v>
      </c>
      <c r="C30" s="72">
        <f>IF(B30="","",INDEX('Diario'!$D$5:$D$504,MATCH(4,'Diario'!$AW$5:$AW$504,0)))</f>
        <v>46303</v>
      </c>
      <c r="D30" s="47">
        <f>IF(B30="","",INDEX('Diario'!$AX$5:$AX$504,MATCH(4,'Diario'!$AW$5:$AW$504,0)))</f>
        <v>237.20000000000022</v>
      </c>
      <c r="E30" s="47">
        <f>IF(B30="","",E29+D30)</f>
        <v>10410.400000000003</v>
      </c>
      <c r="F30" s="47">
        <f>IF(B30="","",E29-$D$8*$D$11)</f>
        <v>9673.200000000003</v>
      </c>
      <c r="G30" s="47">
        <f>IF(B30="","",IF($D$13="Trailing (cierre del día)",MIN($D$8,MAX($D$8,MAX(E$27:E29))-$D$8*$D$12),$D$8*(1-$D$12)))</f>
        <v>9000</v>
      </c>
      <c r="H30" s="73" t="str">
        <f>IF(B30="","",IF(E30&lt;=G30,"Pérdida máx. alcanzada",IF(D30&lt;=-$D$8*$D$11,"Pérdida diaria alcanzada","")))</f>
        <v/>
      </c>
      <c r="I30" s="1" t="n"/>
      <c r="J30" s="1" t="n"/>
      <c r="K30" s="1" t="n"/>
      <c r="L30" s="1" t="n"/>
      <c r="M30" s="1" t="n"/>
      <c r="N30" s="1" t="n"/>
      <c r="O30" s="1" t="n"/>
      <c r="P30" s="1" t="n"/>
    </row>
    <row r="31">
      <c r="A31" s="1" t="n"/>
      <c r="B31" s="71">
        <f>IF(5&gt;$H$9,"",5)</f>
        <v>5</v>
      </c>
      <c r="C31" s="72">
        <f>IF(B31="","",INDEX('Diario'!$D$5:$D$504,MATCH(5,'Diario'!$AW$5:$AW$504,0)))</f>
        <v>46307</v>
      </c>
      <c r="D31" s="47">
        <f>IF(B31="","",INDEX('Diario'!$AX$5:$AX$504,MATCH(5,'Diario'!$AW$5:$AW$504,0)))</f>
        <v>-90</v>
      </c>
      <c r="E31" s="47">
        <f>IF(B31="","",E30+D31)</f>
        <v>10320.400000000003</v>
      </c>
      <c r="F31" s="47">
        <f>IF(B31="","",E30-$D$8*$D$11)</f>
        <v>9910.400000000003</v>
      </c>
      <c r="G31" s="47">
        <f>IF(B31="","",IF($D$13="Trailing (cierre del día)",MIN($D$8,MAX($D$8,MAX(E$27:E30))-$D$8*$D$12),$D$8*(1-$D$12)))</f>
        <v>9000</v>
      </c>
      <c r="H31" s="73" t="str">
        <f>IF(B31="","",IF(E31&lt;=G31,"Pérdida máx. alcanzada",IF(D31&lt;=-$D$8*$D$11,"Pérdida diaria alcanzada","")))</f>
        <v/>
      </c>
      <c r="I31" s="1" t="n"/>
      <c r="J31" s="1" t="n"/>
      <c r="K31" s="1" t="n"/>
      <c r="L31" s="1" t="n"/>
      <c r="M31" s="1" t="n"/>
      <c r="N31" s="1" t="n"/>
      <c r="O31" s="1" t="n"/>
      <c r="P31" s="1" t="n"/>
    </row>
    <row r="32">
      <c r="A32" s="1" t="n"/>
      <c r="B32" s="71">
        <f>IF(6&gt;$H$9,"",6)</f>
        <v>6</v>
      </c>
      <c r="C32" s="72">
        <f>IF(B32="","",INDEX('Diario'!$D$5:$D$504,MATCH(6,'Diario'!$AW$5:$AW$504,0)))</f>
        <v>46308</v>
      </c>
      <c r="D32" s="47">
        <f>IF(B32="","",INDEX('Diario'!$AX$5:$AX$504,MATCH(6,'Diario'!$AW$5:$AW$504,0)))</f>
        <v>187.20000000000127</v>
      </c>
      <c r="E32" s="47">
        <f>IF(B32="","",E31+D32)</f>
        <v>10507.600000000004</v>
      </c>
      <c r="F32" s="47">
        <f>IF(B32="","",E31-$D$8*$D$11)</f>
        <v>9820.400000000003</v>
      </c>
      <c r="G32" s="47">
        <f>IF(B32="","",IF($D$13="Trailing (cierre del día)",MIN($D$8,MAX($D$8,MAX(E$27:E31))-$D$8*$D$12),$D$8*(1-$D$12)))</f>
        <v>9000</v>
      </c>
      <c r="H32" s="73" t="str">
        <f>IF(B32="","",IF(E32&lt;=G32,"Pérdida máx. alcanzada",IF(D32&lt;=-$D$8*$D$11,"Pérdida diaria alcanzada","")))</f>
        <v/>
      </c>
      <c r="I32" s="1" t="n"/>
      <c r="J32" s="1" t="n"/>
      <c r="K32" s="1" t="n"/>
      <c r="L32" s="1" t="n"/>
      <c r="M32" s="1" t="n"/>
      <c r="N32" s="1" t="n"/>
      <c r="O32" s="1" t="n"/>
      <c r="P32" s="1" t="n"/>
    </row>
    <row r="33">
      <c r="A33" s="1" t="n"/>
      <c r="B33" s="71">
        <f>IF(7&gt;$H$9,"",7)</f>
        <v>7</v>
      </c>
      <c r="C33" s="72">
        <f>IF(B33="","",INDEX('Diario'!$D$5:$D$504,MATCH(7,'Diario'!$AW$5:$AW$504,0)))</f>
        <v>46310</v>
      </c>
      <c r="D33" s="47">
        <f>IF(B33="","",INDEX('Diario'!$AX$5:$AX$504,MATCH(7,'Diario'!$AW$5:$AW$504,0)))</f>
        <v>207.19999999999908</v>
      </c>
      <c r="E33" s="47">
        <f>IF(B33="","",E32+D33)</f>
        <v>10714.800000000003</v>
      </c>
      <c r="F33" s="47">
        <f>IF(B33="","",E32-$D$8*$D$11)</f>
        <v>10007.600000000004</v>
      </c>
      <c r="G33" s="47">
        <f>IF(B33="","",IF($D$13="Trailing (cierre del día)",MIN($D$8,MAX($D$8,MAX(E$27:E32))-$D$8*$D$12),$D$8*(1-$D$12)))</f>
        <v>9000</v>
      </c>
      <c r="H33" s="73" t="str">
        <f>IF(B33="","",IF(E33&lt;=G33,"Pérdida máx. alcanzada",IF(D33&lt;=-$D$8*$D$11,"Pérdida diaria alcanzada","")))</f>
        <v/>
      </c>
      <c r="I33" s="1" t="n"/>
      <c r="J33" s="1" t="n"/>
      <c r="K33" s="1" t="n"/>
      <c r="L33" s="1" t="n"/>
      <c r="M33" s="1" t="n"/>
      <c r="N33" s="1" t="n"/>
      <c r="O33" s="1" t="n"/>
      <c r="P33" s="1" t="n"/>
    </row>
    <row r="34">
      <c r="A34" s="1" t="n"/>
      <c r="B34" s="71">
        <f>IF(8&gt;$H$9,"",8)</f>
        <v>8</v>
      </c>
      <c r="C34" s="72">
        <f>IF(B34="","",INDEX('Diario'!$D$5:$D$504,MATCH(8,'Diario'!$AW$5:$AW$504,0)))</f>
        <v>46311</v>
      </c>
      <c r="D34" s="47">
        <f>IF(B34="","",INDEX('Diario'!$AX$5:$AX$504,MATCH(8,'Diario'!$AW$5:$AW$504,0)))</f>
        <v>-90</v>
      </c>
      <c r="E34" s="47">
        <f>IF(B34="","",E33+D34)</f>
        <v>10624.800000000003</v>
      </c>
      <c r="F34" s="47">
        <f>IF(B34="","",E33-$D$8*$D$11)</f>
        <v>10214.800000000003</v>
      </c>
      <c r="G34" s="47">
        <f>IF(B34="","",IF($D$13="Trailing (cierre del día)",MIN($D$8,MAX($D$8,MAX(E$27:E33))-$D$8*$D$12),$D$8*(1-$D$12)))</f>
        <v>9000</v>
      </c>
      <c r="H34" s="73" t="str">
        <f>IF(B34="","",IF(E34&lt;=G34,"Pérdida máx. alcanzada",IF(D34&lt;=-$D$8*$D$11,"Pérdida diaria alcanzada","")))</f>
        <v/>
      </c>
      <c r="I34" s="1" t="n"/>
      <c r="J34" s="1" t="n"/>
      <c r="K34" s="1" t="n"/>
      <c r="L34" s="1" t="n"/>
      <c r="M34" s="1" t="n"/>
      <c r="N34" s="1" t="n"/>
      <c r="O34" s="1" t="n"/>
      <c r="P34" s="1" t="n"/>
    </row>
    <row r="35">
      <c r="A35" s="1" t="n"/>
      <c r="B35" s="71" t="str">
        <f>IF(9&gt;$H$9,"",9)</f>
        <v/>
      </c>
      <c r="C35" s="72" t="str">
        <f>IF(B35="","",INDEX('Diario'!$D$5:$D$504,MATCH(9,'Diario'!$AW$5:$AW$504,0)))</f>
        <v/>
      </c>
      <c r="D35" s="47" t="str">
        <f>IF(B35="","",INDEX('Diario'!$AX$5:$AX$504,MATCH(9,'Diario'!$AW$5:$AW$504,0)))</f>
        <v/>
      </c>
      <c r="E35" s="47" t="str">
        <f>IF(B35="","",E34+D35)</f>
        <v/>
      </c>
      <c r="F35" s="47" t="str">
        <f>IF(B35="","",E34-$D$8*$D$11)</f>
        <v/>
      </c>
      <c r="G35" s="47" t="str">
        <f>IF(B35="","",IF($D$13="Trailing (cierre del día)",MIN($D$8,MAX($D$8,MAX(E$27:E34))-$D$8*$D$12),$D$8*(1-$D$12)))</f>
        <v/>
      </c>
      <c r="H35" s="73" t="str">
        <f>IF(B35="","",IF(E35&lt;=G35,"Pérdida máx. alcanzada",IF(D35&lt;=-$D$8*$D$11,"Pérdida diaria alcanzada","")))</f>
        <v/>
      </c>
      <c r="I35" s="1" t="n"/>
      <c r="J35" s="1" t="n"/>
      <c r="K35" s="1" t="n"/>
      <c r="L35" s="1" t="n"/>
      <c r="M35" s="1" t="n"/>
      <c r="N35" s="1" t="n"/>
      <c r="O35" s="1" t="n"/>
      <c r="P35" s="1" t="n"/>
    </row>
    <row r="36">
      <c r="A36" s="1" t="n"/>
      <c r="B36" s="71" t="str">
        <f>IF(10&gt;$H$9,"",10)</f>
        <v/>
      </c>
      <c r="C36" s="72" t="str">
        <f>IF(B36="","",INDEX('Diario'!$D$5:$D$504,MATCH(10,'Diario'!$AW$5:$AW$504,0)))</f>
        <v/>
      </c>
      <c r="D36" s="47" t="str">
        <f>IF(B36="","",INDEX('Diario'!$AX$5:$AX$504,MATCH(10,'Diario'!$AW$5:$AW$504,0)))</f>
        <v/>
      </c>
      <c r="E36" s="47" t="str">
        <f>IF(B36="","",E35+D36)</f>
        <v/>
      </c>
      <c r="F36" s="47" t="str">
        <f>IF(B36="","",E35-$D$8*$D$11)</f>
        <v/>
      </c>
      <c r="G36" s="47" t="str">
        <f>IF(B36="","",IF($D$13="Trailing (cierre del día)",MIN($D$8,MAX($D$8,MAX(E$27:E35))-$D$8*$D$12),$D$8*(1-$D$12)))</f>
        <v/>
      </c>
      <c r="H36" s="73" t="str">
        <f>IF(B36="","",IF(E36&lt;=G36,"Pérdida máx. alcanzada",IF(D36&lt;=-$D$8*$D$11,"Pérdida diaria alcanzada","")))</f>
        <v/>
      </c>
      <c r="I36" s="1" t="n"/>
      <c r="J36" s="1" t="n"/>
      <c r="K36" s="1" t="n"/>
      <c r="L36" s="1" t="n"/>
      <c r="M36" s="1" t="n"/>
      <c r="N36" s="1" t="n"/>
      <c r="O36" s="1" t="n"/>
      <c r="P36" s="1" t="n"/>
    </row>
    <row r="37">
      <c r="A37" s="1" t="n"/>
      <c r="B37" s="71" t="str">
        <f>IF(11&gt;$H$9,"",11)</f>
        <v/>
      </c>
      <c r="C37" s="72" t="str">
        <f>IF(B37="","",INDEX('Diario'!$D$5:$D$504,MATCH(11,'Diario'!$AW$5:$AW$504,0)))</f>
        <v/>
      </c>
      <c r="D37" s="47" t="str">
        <f>IF(B37="","",INDEX('Diario'!$AX$5:$AX$504,MATCH(11,'Diario'!$AW$5:$AW$504,0)))</f>
        <v/>
      </c>
      <c r="E37" s="47" t="str">
        <f>IF(B37="","",E36+D37)</f>
        <v/>
      </c>
      <c r="F37" s="47" t="str">
        <f>IF(B37="","",E36-$D$8*$D$11)</f>
        <v/>
      </c>
      <c r="G37" s="47" t="str">
        <f>IF(B37="","",IF($D$13="Trailing (cierre del día)",MIN($D$8,MAX($D$8,MAX(E$27:E36))-$D$8*$D$12),$D$8*(1-$D$12)))</f>
        <v/>
      </c>
      <c r="H37" s="73" t="str">
        <f>IF(B37="","",IF(E37&lt;=G37,"Pérdida máx. alcanzada",IF(D37&lt;=-$D$8*$D$11,"Pérdida diaria alcanzada","")))</f>
        <v/>
      </c>
      <c r="I37" s="1" t="n"/>
      <c r="J37" s="1" t="n"/>
      <c r="K37" s="1" t="n"/>
      <c r="L37" s="1" t="n"/>
      <c r="M37" s="1" t="n"/>
      <c r="N37" s="1" t="n"/>
      <c r="O37" s="1" t="n"/>
      <c r="P37" s="1" t="n"/>
    </row>
    <row r="38">
      <c r="A38" s="1" t="n"/>
      <c r="B38" s="71" t="str">
        <f>IF(12&gt;$H$9,"",12)</f>
        <v/>
      </c>
      <c r="C38" s="72" t="str">
        <f>IF(B38="","",INDEX('Diario'!$D$5:$D$504,MATCH(12,'Diario'!$AW$5:$AW$504,0)))</f>
        <v/>
      </c>
      <c r="D38" s="47" t="str">
        <f>IF(B38="","",INDEX('Diario'!$AX$5:$AX$504,MATCH(12,'Diario'!$AW$5:$AW$504,0)))</f>
        <v/>
      </c>
      <c r="E38" s="47" t="str">
        <f>IF(B38="","",E37+D38)</f>
        <v/>
      </c>
      <c r="F38" s="47" t="str">
        <f>IF(B38="","",E37-$D$8*$D$11)</f>
        <v/>
      </c>
      <c r="G38" s="47" t="str">
        <f>IF(B38="","",IF($D$13="Trailing (cierre del día)",MIN($D$8,MAX($D$8,MAX(E$27:E37))-$D$8*$D$12),$D$8*(1-$D$12)))</f>
        <v/>
      </c>
      <c r="H38" s="73" t="str">
        <f>IF(B38="","",IF(E38&lt;=G38,"Pérdida máx. alcanzada",IF(D38&lt;=-$D$8*$D$11,"Pérdida diaria alcanzada","")))</f>
        <v/>
      </c>
      <c r="I38" s="1" t="n"/>
      <c r="J38" s="1" t="n"/>
      <c r="K38" s="1" t="n"/>
      <c r="L38" s="1" t="n"/>
      <c r="M38" s="1" t="n"/>
      <c r="N38" s="1" t="n"/>
      <c r="O38" s="1" t="n"/>
      <c r="P38" s="1" t="n"/>
    </row>
    <row r="39">
      <c r="A39" s="1" t="n"/>
      <c r="B39" s="71" t="str">
        <f>IF(13&gt;$H$9,"",13)</f>
        <v/>
      </c>
      <c r="C39" s="72" t="str">
        <f>IF(B39="","",INDEX('Diario'!$D$5:$D$504,MATCH(13,'Diario'!$AW$5:$AW$504,0)))</f>
        <v/>
      </c>
      <c r="D39" s="47" t="str">
        <f>IF(B39="","",INDEX('Diario'!$AX$5:$AX$504,MATCH(13,'Diario'!$AW$5:$AW$504,0)))</f>
        <v/>
      </c>
      <c r="E39" s="47" t="str">
        <f>IF(B39="","",E38+D39)</f>
        <v/>
      </c>
      <c r="F39" s="47" t="str">
        <f>IF(B39="","",E38-$D$8*$D$11)</f>
        <v/>
      </c>
      <c r="G39" s="47" t="str">
        <f>IF(B39="","",IF($D$13="Trailing (cierre del día)",MIN($D$8,MAX($D$8,MAX(E$27:E38))-$D$8*$D$12),$D$8*(1-$D$12)))</f>
        <v/>
      </c>
      <c r="H39" s="73" t="str">
        <f>IF(B39="","",IF(E39&lt;=G39,"Pérdida máx. alcanzada",IF(D39&lt;=-$D$8*$D$11,"Pérdida diaria alcanzada","")))</f>
        <v/>
      </c>
      <c r="I39" s="1" t="n"/>
      <c r="J39" s="1" t="n"/>
      <c r="K39" s="1" t="n"/>
      <c r="L39" s="1" t="n"/>
      <c r="M39" s="1" t="n"/>
      <c r="N39" s="1" t="n"/>
      <c r="O39" s="1" t="n"/>
      <c r="P39" s="1" t="n"/>
    </row>
    <row r="40">
      <c r="A40" s="1" t="n"/>
      <c r="B40" s="71" t="str">
        <f>IF(14&gt;$H$9,"",14)</f>
        <v/>
      </c>
      <c r="C40" s="72" t="str">
        <f>IF(B40="","",INDEX('Diario'!$D$5:$D$504,MATCH(14,'Diario'!$AW$5:$AW$504,0)))</f>
        <v/>
      </c>
      <c r="D40" s="47" t="str">
        <f>IF(B40="","",INDEX('Diario'!$AX$5:$AX$504,MATCH(14,'Diario'!$AW$5:$AW$504,0)))</f>
        <v/>
      </c>
      <c r="E40" s="47" t="str">
        <f>IF(B40="","",E39+D40)</f>
        <v/>
      </c>
      <c r="F40" s="47" t="str">
        <f>IF(B40="","",E39-$D$8*$D$11)</f>
        <v/>
      </c>
      <c r="G40" s="47" t="str">
        <f>IF(B40="","",IF($D$13="Trailing (cierre del día)",MIN($D$8,MAX($D$8,MAX(E$27:E39))-$D$8*$D$12),$D$8*(1-$D$12)))</f>
        <v/>
      </c>
      <c r="H40" s="73" t="str">
        <f>IF(B40="","",IF(E40&lt;=G40,"Pérdida máx. alcanzada",IF(D40&lt;=-$D$8*$D$11,"Pérdida diaria alcanzada","")))</f>
        <v/>
      </c>
      <c r="I40" s="1" t="n"/>
      <c r="J40" s="1" t="n"/>
      <c r="K40" s="1" t="n"/>
      <c r="L40" s="1" t="n"/>
      <c r="M40" s="1" t="n"/>
      <c r="N40" s="1" t="n"/>
      <c r="O40" s="1" t="n"/>
      <c r="P40" s="1" t="n"/>
    </row>
    <row r="41">
      <c r="A41" s="1" t="n"/>
      <c r="B41" s="71" t="str">
        <f>IF(15&gt;$H$9,"",15)</f>
        <v/>
      </c>
      <c r="C41" s="72" t="str">
        <f>IF(B41="","",INDEX('Diario'!$D$5:$D$504,MATCH(15,'Diario'!$AW$5:$AW$504,0)))</f>
        <v/>
      </c>
      <c r="D41" s="47" t="str">
        <f>IF(B41="","",INDEX('Diario'!$AX$5:$AX$504,MATCH(15,'Diario'!$AW$5:$AW$504,0)))</f>
        <v/>
      </c>
      <c r="E41" s="47" t="str">
        <f>IF(B41="","",E40+D41)</f>
        <v/>
      </c>
      <c r="F41" s="47" t="str">
        <f>IF(B41="","",E40-$D$8*$D$11)</f>
        <v/>
      </c>
      <c r="G41" s="47" t="str">
        <f>IF(B41="","",IF($D$13="Trailing (cierre del día)",MIN($D$8,MAX($D$8,MAX(E$27:E40))-$D$8*$D$12),$D$8*(1-$D$12)))</f>
        <v/>
      </c>
      <c r="H41" s="73" t="str">
        <f>IF(B41="","",IF(E41&lt;=G41,"Pérdida máx. alcanzada",IF(D41&lt;=-$D$8*$D$11,"Pérdida diaria alcanzada","")))</f>
        <v/>
      </c>
      <c r="I41" s="1" t="n"/>
      <c r="J41" s="1" t="n"/>
      <c r="K41" s="1" t="n"/>
      <c r="L41" s="1" t="n"/>
      <c r="M41" s="1" t="n"/>
      <c r="N41" s="1" t="n"/>
      <c r="O41" s="1" t="n"/>
      <c r="P41" s="1" t="n"/>
    </row>
    <row r="42">
      <c r="A42" s="1" t="n"/>
      <c r="B42" s="71" t="str">
        <f>IF(16&gt;$H$9,"",16)</f>
        <v/>
      </c>
      <c r="C42" s="72" t="str">
        <f>IF(B42="","",INDEX('Diario'!$D$5:$D$504,MATCH(16,'Diario'!$AW$5:$AW$504,0)))</f>
        <v/>
      </c>
      <c r="D42" s="47" t="str">
        <f>IF(B42="","",INDEX('Diario'!$AX$5:$AX$504,MATCH(16,'Diario'!$AW$5:$AW$504,0)))</f>
        <v/>
      </c>
      <c r="E42" s="47" t="str">
        <f>IF(B42="","",E41+D42)</f>
        <v/>
      </c>
      <c r="F42" s="47" t="str">
        <f>IF(B42="","",E41-$D$8*$D$11)</f>
        <v/>
      </c>
      <c r="G42" s="47" t="str">
        <f>IF(B42="","",IF($D$13="Trailing (cierre del día)",MIN($D$8,MAX($D$8,MAX(E$27:E41))-$D$8*$D$12),$D$8*(1-$D$12)))</f>
        <v/>
      </c>
      <c r="H42" s="73" t="str">
        <f>IF(B42="","",IF(E42&lt;=G42,"Pérdida máx. alcanzada",IF(D42&lt;=-$D$8*$D$11,"Pérdida diaria alcanzada","")))</f>
        <v/>
      </c>
      <c r="I42" s="1" t="n"/>
      <c r="J42" s="1" t="n"/>
      <c r="K42" s="1" t="n"/>
      <c r="L42" s="1" t="n"/>
      <c r="M42" s="1" t="n"/>
      <c r="N42" s="1" t="n"/>
      <c r="O42" s="1" t="n"/>
      <c r="P42" s="1" t="n"/>
    </row>
    <row r="43">
      <c r="A43" s="1" t="n"/>
      <c r="B43" s="71" t="str">
        <f>IF(17&gt;$H$9,"",17)</f>
        <v/>
      </c>
      <c r="C43" s="72" t="str">
        <f>IF(B43="","",INDEX('Diario'!$D$5:$D$504,MATCH(17,'Diario'!$AW$5:$AW$504,0)))</f>
        <v/>
      </c>
      <c r="D43" s="47" t="str">
        <f>IF(B43="","",INDEX('Diario'!$AX$5:$AX$504,MATCH(17,'Diario'!$AW$5:$AW$504,0)))</f>
        <v/>
      </c>
      <c r="E43" s="47" t="str">
        <f>IF(B43="","",E42+D43)</f>
        <v/>
      </c>
      <c r="F43" s="47" t="str">
        <f>IF(B43="","",E42-$D$8*$D$11)</f>
        <v/>
      </c>
      <c r="G43" s="47" t="str">
        <f>IF(B43="","",IF($D$13="Trailing (cierre del día)",MIN($D$8,MAX($D$8,MAX(E$27:E42))-$D$8*$D$12),$D$8*(1-$D$12)))</f>
        <v/>
      </c>
      <c r="H43" s="73" t="str">
        <f>IF(B43="","",IF(E43&lt;=G43,"Pérdida máx. alcanzada",IF(D43&lt;=-$D$8*$D$11,"Pérdida diaria alcanzada","")))</f>
        <v/>
      </c>
      <c r="I43" s="1" t="n"/>
      <c r="J43" s="1" t="n"/>
      <c r="K43" s="1" t="n"/>
      <c r="L43" s="1" t="n"/>
      <c r="M43" s="1" t="n"/>
      <c r="N43" s="1" t="n"/>
      <c r="O43" s="1" t="n"/>
      <c r="P43" s="1" t="n"/>
    </row>
    <row r="44">
      <c r="A44" s="1" t="n"/>
      <c r="B44" s="71" t="str">
        <f>IF(18&gt;$H$9,"",18)</f>
        <v/>
      </c>
      <c r="C44" s="72" t="str">
        <f>IF(B44="","",INDEX('Diario'!$D$5:$D$504,MATCH(18,'Diario'!$AW$5:$AW$504,0)))</f>
        <v/>
      </c>
      <c r="D44" s="47" t="str">
        <f>IF(B44="","",INDEX('Diario'!$AX$5:$AX$504,MATCH(18,'Diario'!$AW$5:$AW$504,0)))</f>
        <v/>
      </c>
      <c r="E44" s="47" t="str">
        <f>IF(B44="","",E43+D44)</f>
        <v/>
      </c>
      <c r="F44" s="47" t="str">
        <f>IF(B44="","",E43-$D$8*$D$11)</f>
        <v/>
      </c>
      <c r="G44" s="47" t="str">
        <f>IF(B44="","",IF($D$13="Trailing (cierre del día)",MIN($D$8,MAX($D$8,MAX(E$27:E43))-$D$8*$D$12),$D$8*(1-$D$12)))</f>
        <v/>
      </c>
      <c r="H44" s="73" t="str">
        <f>IF(B44="","",IF(E44&lt;=G44,"Pérdida máx. alcanzada",IF(D44&lt;=-$D$8*$D$11,"Pérdida diaria alcanzada","")))</f>
        <v/>
      </c>
      <c r="I44" s="1" t="n"/>
      <c r="J44" s="1" t="n"/>
      <c r="K44" s="1" t="n"/>
      <c r="L44" s="1" t="n"/>
      <c r="M44" s="1" t="n"/>
      <c r="N44" s="1" t="n"/>
      <c r="O44" s="1" t="n"/>
      <c r="P44" s="1" t="n"/>
    </row>
    <row r="45">
      <c r="A45" s="1" t="n"/>
      <c r="B45" s="71" t="str">
        <f>IF(19&gt;$H$9,"",19)</f>
        <v/>
      </c>
      <c r="C45" s="72" t="str">
        <f>IF(B45="","",INDEX('Diario'!$D$5:$D$504,MATCH(19,'Diario'!$AW$5:$AW$504,0)))</f>
        <v/>
      </c>
      <c r="D45" s="47" t="str">
        <f>IF(B45="","",INDEX('Diario'!$AX$5:$AX$504,MATCH(19,'Diario'!$AW$5:$AW$504,0)))</f>
        <v/>
      </c>
      <c r="E45" s="47" t="str">
        <f>IF(B45="","",E44+D45)</f>
        <v/>
      </c>
      <c r="F45" s="47" t="str">
        <f>IF(B45="","",E44-$D$8*$D$11)</f>
        <v/>
      </c>
      <c r="G45" s="47" t="str">
        <f>IF(B45="","",IF($D$13="Trailing (cierre del día)",MIN($D$8,MAX($D$8,MAX(E$27:E44))-$D$8*$D$12),$D$8*(1-$D$12)))</f>
        <v/>
      </c>
      <c r="H45" s="73" t="str">
        <f>IF(B45="","",IF(E45&lt;=G45,"Pérdida máx. alcanzada",IF(D45&lt;=-$D$8*$D$11,"Pérdida diaria alcanzada","")))</f>
        <v/>
      </c>
      <c r="I45" s="1" t="n"/>
      <c r="J45" s="1" t="n"/>
      <c r="K45" s="1" t="n"/>
      <c r="L45" s="1" t="n"/>
      <c r="M45" s="1" t="n"/>
      <c r="N45" s="1" t="n"/>
      <c r="O45" s="1" t="n"/>
      <c r="P45" s="1" t="n"/>
    </row>
    <row r="46">
      <c r="A46" s="1" t="n"/>
      <c r="B46" s="71" t="str">
        <f>IF(20&gt;$H$9,"",20)</f>
        <v/>
      </c>
      <c r="C46" s="72" t="str">
        <f>IF(B46="","",INDEX('Diario'!$D$5:$D$504,MATCH(20,'Diario'!$AW$5:$AW$504,0)))</f>
        <v/>
      </c>
      <c r="D46" s="47" t="str">
        <f>IF(B46="","",INDEX('Diario'!$AX$5:$AX$504,MATCH(20,'Diario'!$AW$5:$AW$504,0)))</f>
        <v/>
      </c>
      <c r="E46" s="47" t="str">
        <f>IF(B46="","",E45+D46)</f>
        <v/>
      </c>
      <c r="F46" s="47" t="str">
        <f>IF(B46="","",E45-$D$8*$D$11)</f>
        <v/>
      </c>
      <c r="G46" s="47" t="str">
        <f>IF(B46="","",IF($D$13="Trailing (cierre del día)",MIN($D$8,MAX($D$8,MAX(E$27:E45))-$D$8*$D$12),$D$8*(1-$D$12)))</f>
        <v/>
      </c>
      <c r="H46" s="73" t="str">
        <f>IF(B46="","",IF(E46&lt;=G46,"Pérdida máx. alcanzada",IF(D46&lt;=-$D$8*$D$11,"Pérdida diaria alcanzada","")))</f>
        <v/>
      </c>
      <c r="I46" s="1" t="n"/>
      <c r="J46" s="1" t="n"/>
      <c r="K46" s="1" t="n"/>
      <c r="L46" s="1" t="n"/>
      <c r="M46" s="1" t="n"/>
      <c r="N46" s="1" t="n"/>
      <c r="O46" s="1" t="n"/>
      <c r="P46" s="1" t="n"/>
    </row>
    <row r="47">
      <c r="A47" s="1" t="n"/>
      <c r="B47" s="71" t="str">
        <f>IF(21&gt;$H$9,"",21)</f>
        <v/>
      </c>
      <c r="C47" s="72" t="str">
        <f>IF(B47="","",INDEX('Diario'!$D$5:$D$504,MATCH(21,'Diario'!$AW$5:$AW$504,0)))</f>
        <v/>
      </c>
      <c r="D47" s="47" t="str">
        <f>IF(B47="","",INDEX('Diario'!$AX$5:$AX$504,MATCH(21,'Diario'!$AW$5:$AW$504,0)))</f>
        <v/>
      </c>
      <c r="E47" s="47" t="str">
        <f>IF(B47="","",E46+D47)</f>
        <v/>
      </c>
      <c r="F47" s="47" t="str">
        <f>IF(B47="","",E46-$D$8*$D$11)</f>
        <v/>
      </c>
      <c r="G47" s="47" t="str">
        <f>IF(B47="","",IF($D$13="Trailing (cierre del día)",MIN($D$8,MAX($D$8,MAX(E$27:E46))-$D$8*$D$12),$D$8*(1-$D$12)))</f>
        <v/>
      </c>
      <c r="H47" s="73" t="str">
        <f>IF(B47="","",IF(E47&lt;=G47,"Pérdida máx. alcanzada",IF(D47&lt;=-$D$8*$D$11,"Pérdida diaria alcanzada","")))</f>
        <v/>
      </c>
      <c r="I47" s="1" t="n"/>
      <c r="J47" s="1" t="n"/>
      <c r="K47" s="1" t="n"/>
      <c r="L47" s="1" t="n"/>
      <c r="M47" s="1" t="n"/>
      <c r="N47" s="1" t="n"/>
      <c r="O47" s="1" t="n"/>
      <c r="P47" s="1" t="n"/>
    </row>
    <row r="48">
      <c r="A48" s="1" t="n"/>
      <c r="B48" s="71" t="str">
        <f>IF(22&gt;$H$9,"",22)</f>
        <v/>
      </c>
      <c r="C48" s="72" t="str">
        <f>IF(B48="","",INDEX('Diario'!$D$5:$D$504,MATCH(22,'Diario'!$AW$5:$AW$504,0)))</f>
        <v/>
      </c>
      <c r="D48" s="47" t="str">
        <f>IF(B48="","",INDEX('Diario'!$AX$5:$AX$504,MATCH(22,'Diario'!$AW$5:$AW$504,0)))</f>
        <v/>
      </c>
      <c r="E48" s="47" t="str">
        <f>IF(B48="","",E47+D48)</f>
        <v/>
      </c>
      <c r="F48" s="47" t="str">
        <f>IF(B48="","",E47-$D$8*$D$11)</f>
        <v/>
      </c>
      <c r="G48" s="47" t="str">
        <f>IF(B48="","",IF($D$13="Trailing (cierre del día)",MIN($D$8,MAX($D$8,MAX(E$27:E47))-$D$8*$D$12),$D$8*(1-$D$12)))</f>
        <v/>
      </c>
      <c r="H48" s="73" t="str">
        <f>IF(B48="","",IF(E48&lt;=G48,"Pérdida máx. alcanzada",IF(D48&lt;=-$D$8*$D$11,"Pérdida diaria alcanzada","")))</f>
        <v/>
      </c>
      <c r="I48" s="1" t="n"/>
      <c r="J48" s="1" t="n"/>
      <c r="K48" s="1" t="n"/>
      <c r="L48" s="1" t="n"/>
      <c r="M48" s="1" t="n"/>
      <c r="N48" s="1" t="n"/>
      <c r="O48" s="1" t="n"/>
      <c r="P48" s="1" t="n"/>
    </row>
    <row r="49">
      <c r="A49" s="1" t="n"/>
      <c r="B49" s="71" t="str">
        <f>IF(23&gt;$H$9,"",23)</f>
        <v/>
      </c>
      <c r="C49" s="72" t="str">
        <f>IF(B49="","",INDEX('Diario'!$D$5:$D$504,MATCH(23,'Diario'!$AW$5:$AW$504,0)))</f>
        <v/>
      </c>
      <c r="D49" s="47" t="str">
        <f>IF(B49="","",INDEX('Diario'!$AX$5:$AX$504,MATCH(23,'Diario'!$AW$5:$AW$504,0)))</f>
        <v/>
      </c>
      <c r="E49" s="47" t="str">
        <f>IF(B49="","",E48+D49)</f>
        <v/>
      </c>
      <c r="F49" s="47" t="str">
        <f>IF(B49="","",E48-$D$8*$D$11)</f>
        <v/>
      </c>
      <c r="G49" s="47" t="str">
        <f>IF(B49="","",IF($D$13="Trailing (cierre del día)",MIN($D$8,MAX($D$8,MAX(E$27:E48))-$D$8*$D$12),$D$8*(1-$D$12)))</f>
        <v/>
      </c>
      <c r="H49" s="73" t="str">
        <f>IF(B49="","",IF(E49&lt;=G49,"Pérdida máx. alcanzada",IF(D49&lt;=-$D$8*$D$11,"Pérdida diaria alcanzada","")))</f>
        <v/>
      </c>
      <c r="I49" s="1" t="n"/>
      <c r="J49" s="1" t="n"/>
      <c r="K49" s="1" t="n"/>
      <c r="L49" s="1" t="n"/>
      <c r="M49" s="1" t="n"/>
      <c r="N49" s="1" t="n"/>
      <c r="O49" s="1" t="n"/>
      <c r="P49" s="1" t="n"/>
    </row>
    <row r="50">
      <c r="A50" s="1" t="n"/>
      <c r="B50" s="71" t="str">
        <f>IF(24&gt;$H$9,"",24)</f>
        <v/>
      </c>
      <c r="C50" s="72" t="str">
        <f>IF(B50="","",INDEX('Diario'!$D$5:$D$504,MATCH(24,'Diario'!$AW$5:$AW$504,0)))</f>
        <v/>
      </c>
      <c r="D50" s="47" t="str">
        <f>IF(B50="","",INDEX('Diario'!$AX$5:$AX$504,MATCH(24,'Diario'!$AW$5:$AW$504,0)))</f>
        <v/>
      </c>
      <c r="E50" s="47" t="str">
        <f>IF(B50="","",E49+D50)</f>
        <v/>
      </c>
      <c r="F50" s="47" t="str">
        <f>IF(B50="","",E49-$D$8*$D$11)</f>
        <v/>
      </c>
      <c r="G50" s="47" t="str">
        <f>IF(B50="","",IF($D$13="Trailing (cierre del día)",MIN($D$8,MAX($D$8,MAX(E$27:E49))-$D$8*$D$12),$D$8*(1-$D$12)))</f>
        <v/>
      </c>
      <c r="H50" s="73" t="str">
        <f>IF(B50="","",IF(E50&lt;=G50,"Pérdida máx. alcanzada",IF(D50&lt;=-$D$8*$D$11,"Pérdida diaria alcanzada","")))</f>
        <v/>
      </c>
      <c r="I50" s="1" t="n"/>
      <c r="J50" s="1" t="n"/>
      <c r="K50" s="1" t="n"/>
      <c r="L50" s="1" t="n"/>
      <c r="M50" s="1" t="n"/>
      <c r="N50" s="1" t="n"/>
      <c r="O50" s="1" t="n"/>
      <c r="P50" s="1" t="n"/>
    </row>
    <row r="51">
      <c r="A51" s="1" t="n"/>
      <c r="B51" s="71" t="str">
        <f>IF(25&gt;$H$9,"",25)</f>
        <v/>
      </c>
      <c r="C51" s="72" t="str">
        <f>IF(B51="","",INDEX('Diario'!$D$5:$D$504,MATCH(25,'Diario'!$AW$5:$AW$504,0)))</f>
        <v/>
      </c>
      <c r="D51" s="47" t="str">
        <f>IF(B51="","",INDEX('Diario'!$AX$5:$AX$504,MATCH(25,'Diario'!$AW$5:$AW$504,0)))</f>
        <v/>
      </c>
      <c r="E51" s="47" t="str">
        <f>IF(B51="","",E50+D51)</f>
        <v/>
      </c>
      <c r="F51" s="47" t="str">
        <f>IF(B51="","",E50-$D$8*$D$11)</f>
        <v/>
      </c>
      <c r="G51" s="47" t="str">
        <f>IF(B51="","",IF($D$13="Trailing (cierre del día)",MIN($D$8,MAX($D$8,MAX(E$27:E50))-$D$8*$D$12),$D$8*(1-$D$12)))</f>
        <v/>
      </c>
      <c r="H51" s="73" t="str">
        <f>IF(B51="","",IF(E51&lt;=G51,"Pérdida máx. alcanzada",IF(D51&lt;=-$D$8*$D$11,"Pérdida diaria alcanzada","")))</f>
        <v/>
      </c>
      <c r="I51" s="1" t="n"/>
      <c r="J51" s="1" t="n"/>
      <c r="K51" s="1" t="n"/>
      <c r="L51" s="1" t="n"/>
      <c r="M51" s="1" t="n"/>
      <c r="N51" s="1" t="n"/>
      <c r="O51" s="1" t="n"/>
      <c r="P51" s="1" t="n"/>
    </row>
    <row r="52">
      <c r="A52" s="1" t="n"/>
      <c r="B52" s="71" t="str">
        <f>IF(26&gt;$H$9,"",26)</f>
        <v/>
      </c>
      <c r="C52" s="72" t="str">
        <f>IF(B52="","",INDEX('Diario'!$D$5:$D$504,MATCH(26,'Diario'!$AW$5:$AW$504,0)))</f>
        <v/>
      </c>
      <c r="D52" s="47" t="str">
        <f>IF(B52="","",INDEX('Diario'!$AX$5:$AX$504,MATCH(26,'Diario'!$AW$5:$AW$504,0)))</f>
        <v/>
      </c>
      <c r="E52" s="47" t="str">
        <f>IF(B52="","",E51+D52)</f>
        <v/>
      </c>
      <c r="F52" s="47" t="str">
        <f>IF(B52="","",E51-$D$8*$D$11)</f>
        <v/>
      </c>
      <c r="G52" s="47" t="str">
        <f>IF(B52="","",IF($D$13="Trailing (cierre del día)",MIN($D$8,MAX($D$8,MAX(E$27:E51))-$D$8*$D$12),$D$8*(1-$D$12)))</f>
        <v/>
      </c>
      <c r="H52" s="73" t="str">
        <f>IF(B52="","",IF(E52&lt;=G52,"Pérdida máx. alcanzada",IF(D52&lt;=-$D$8*$D$11,"Pérdida diaria alcanzada","")))</f>
        <v/>
      </c>
      <c r="I52" s="1" t="n"/>
      <c r="J52" s="1" t="n"/>
      <c r="K52" s="1" t="n"/>
      <c r="L52" s="1" t="n"/>
      <c r="M52" s="1" t="n"/>
      <c r="N52" s="1" t="n"/>
      <c r="O52" s="1" t="n"/>
      <c r="P52" s="1" t="n"/>
    </row>
    <row r="53">
      <c r="A53" s="1" t="n"/>
      <c r="B53" s="71" t="str">
        <f>IF(27&gt;$H$9,"",27)</f>
        <v/>
      </c>
      <c r="C53" s="72" t="str">
        <f>IF(B53="","",INDEX('Diario'!$D$5:$D$504,MATCH(27,'Diario'!$AW$5:$AW$504,0)))</f>
        <v/>
      </c>
      <c r="D53" s="47" t="str">
        <f>IF(B53="","",INDEX('Diario'!$AX$5:$AX$504,MATCH(27,'Diario'!$AW$5:$AW$504,0)))</f>
        <v/>
      </c>
      <c r="E53" s="47" t="str">
        <f>IF(B53="","",E52+D53)</f>
        <v/>
      </c>
      <c r="F53" s="47" t="str">
        <f>IF(B53="","",E52-$D$8*$D$11)</f>
        <v/>
      </c>
      <c r="G53" s="47" t="str">
        <f>IF(B53="","",IF($D$13="Trailing (cierre del día)",MIN($D$8,MAX($D$8,MAX(E$27:E52))-$D$8*$D$12),$D$8*(1-$D$12)))</f>
        <v/>
      </c>
      <c r="H53" s="73" t="str">
        <f>IF(B53="","",IF(E53&lt;=G53,"Pérdida máx. alcanzada",IF(D53&lt;=-$D$8*$D$11,"Pérdida diaria alcanzada","")))</f>
        <v/>
      </c>
      <c r="I53" s="1" t="n"/>
      <c r="J53" s="1" t="n"/>
      <c r="K53" s="1" t="n"/>
      <c r="L53" s="1" t="n"/>
      <c r="M53" s="1" t="n"/>
      <c r="N53" s="1" t="n"/>
      <c r="O53" s="1" t="n"/>
      <c r="P53" s="1" t="n"/>
    </row>
    <row r="54">
      <c r="A54" s="1" t="n"/>
      <c r="B54" s="71" t="str">
        <f>IF(28&gt;$H$9,"",28)</f>
        <v/>
      </c>
      <c r="C54" s="72" t="str">
        <f>IF(B54="","",INDEX('Diario'!$D$5:$D$504,MATCH(28,'Diario'!$AW$5:$AW$504,0)))</f>
        <v/>
      </c>
      <c r="D54" s="47" t="str">
        <f>IF(B54="","",INDEX('Diario'!$AX$5:$AX$504,MATCH(28,'Diario'!$AW$5:$AW$504,0)))</f>
        <v/>
      </c>
      <c r="E54" s="47" t="str">
        <f>IF(B54="","",E53+D54)</f>
        <v/>
      </c>
      <c r="F54" s="47" t="str">
        <f>IF(B54="","",E53-$D$8*$D$11)</f>
        <v/>
      </c>
      <c r="G54" s="47" t="str">
        <f>IF(B54="","",IF($D$13="Trailing (cierre del día)",MIN($D$8,MAX($D$8,MAX(E$27:E53))-$D$8*$D$12),$D$8*(1-$D$12)))</f>
        <v/>
      </c>
      <c r="H54" s="73" t="str">
        <f>IF(B54="","",IF(E54&lt;=G54,"Pérdida máx. alcanzada",IF(D54&lt;=-$D$8*$D$11,"Pérdida diaria alcanzada","")))</f>
        <v/>
      </c>
      <c r="I54" s="1" t="n"/>
      <c r="J54" s="1" t="n"/>
      <c r="K54" s="1" t="n"/>
      <c r="L54" s="1" t="n"/>
      <c r="M54" s="1" t="n"/>
      <c r="N54" s="1" t="n"/>
      <c r="O54" s="1" t="n"/>
      <c r="P54" s="1" t="n"/>
    </row>
    <row r="55">
      <c r="A55" s="1" t="n"/>
      <c r="B55" s="71" t="str">
        <f>IF(29&gt;$H$9,"",29)</f>
        <v/>
      </c>
      <c r="C55" s="72" t="str">
        <f>IF(B55="","",INDEX('Diario'!$D$5:$D$504,MATCH(29,'Diario'!$AW$5:$AW$504,0)))</f>
        <v/>
      </c>
      <c r="D55" s="47" t="str">
        <f>IF(B55="","",INDEX('Diario'!$AX$5:$AX$504,MATCH(29,'Diario'!$AW$5:$AW$504,0)))</f>
        <v/>
      </c>
      <c r="E55" s="47" t="str">
        <f>IF(B55="","",E54+D55)</f>
        <v/>
      </c>
      <c r="F55" s="47" t="str">
        <f>IF(B55="","",E54-$D$8*$D$11)</f>
        <v/>
      </c>
      <c r="G55" s="47" t="str">
        <f>IF(B55="","",IF($D$13="Trailing (cierre del día)",MIN($D$8,MAX($D$8,MAX(E$27:E54))-$D$8*$D$12),$D$8*(1-$D$12)))</f>
        <v/>
      </c>
      <c r="H55" s="73" t="str">
        <f>IF(B55="","",IF(E55&lt;=G55,"Pérdida máx. alcanzada",IF(D55&lt;=-$D$8*$D$11,"Pérdida diaria alcanzada","")))</f>
        <v/>
      </c>
      <c r="I55" s="1" t="n"/>
      <c r="J55" s="1" t="n"/>
      <c r="K55" s="1" t="n"/>
      <c r="L55" s="1" t="n"/>
      <c r="M55" s="1" t="n"/>
      <c r="N55" s="1" t="n"/>
      <c r="O55" s="1" t="n"/>
      <c r="P55" s="1" t="n"/>
    </row>
    <row r="56">
      <c r="A56" s="1" t="n"/>
      <c r="B56" s="71" t="str">
        <f>IF(30&gt;$H$9,"",30)</f>
        <v/>
      </c>
      <c r="C56" s="72" t="str">
        <f>IF(B56="","",INDEX('Diario'!$D$5:$D$504,MATCH(30,'Diario'!$AW$5:$AW$504,0)))</f>
        <v/>
      </c>
      <c r="D56" s="47" t="str">
        <f>IF(B56="","",INDEX('Diario'!$AX$5:$AX$504,MATCH(30,'Diario'!$AW$5:$AW$504,0)))</f>
        <v/>
      </c>
      <c r="E56" s="47" t="str">
        <f>IF(B56="","",E55+D56)</f>
        <v/>
      </c>
      <c r="F56" s="47" t="str">
        <f>IF(B56="","",E55-$D$8*$D$11)</f>
        <v/>
      </c>
      <c r="G56" s="47" t="str">
        <f>IF(B56="","",IF($D$13="Trailing (cierre del día)",MIN($D$8,MAX($D$8,MAX(E$27:E55))-$D$8*$D$12),$D$8*(1-$D$12)))</f>
        <v/>
      </c>
      <c r="H56" s="73" t="str">
        <f>IF(B56="","",IF(E56&lt;=G56,"Pérdida máx. alcanzada",IF(D56&lt;=-$D$8*$D$11,"Pérdida diaria alcanzada","")))</f>
        <v/>
      </c>
      <c r="I56" s="1" t="n"/>
      <c r="J56" s="1" t="n"/>
      <c r="K56" s="1" t="n"/>
      <c r="L56" s="1" t="n"/>
      <c r="M56" s="1" t="n"/>
      <c r="N56" s="1" t="n"/>
      <c r="O56" s="1" t="n"/>
      <c r="P56" s="1" t="n"/>
    </row>
    <row r="57">
      <c r="A57" s="1" t="n"/>
      <c r="B57" s="71" t="str">
        <f>IF(31&gt;$H$9,"",31)</f>
        <v/>
      </c>
      <c r="C57" s="72" t="str">
        <f>IF(B57="","",INDEX('Diario'!$D$5:$D$504,MATCH(31,'Diario'!$AW$5:$AW$504,0)))</f>
        <v/>
      </c>
      <c r="D57" s="47" t="str">
        <f>IF(B57="","",INDEX('Diario'!$AX$5:$AX$504,MATCH(31,'Diario'!$AW$5:$AW$504,0)))</f>
        <v/>
      </c>
      <c r="E57" s="47" t="str">
        <f>IF(B57="","",E56+D57)</f>
        <v/>
      </c>
      <c r="F57" s="47" t="str">
        <f>IF(B57="","",E56-$D$8*$D$11)</f>
        <v/>
      </c>
      <c r="G57" s="47" t="str">
        <f>IF(B57="","",IF($D$13="Trailing (cierre del día)",MIN($D$8,MAX($D$8,MAX(E$27:E56))-$D$8*$D$12),$D$8*(1-$D$12)))</f>
        <v/>
      </c>
      <c r="H57" s="73" t="str">
        <f>IF(B57="","",IF(E57&lt;=G57,"Pérdida máx. alcanzada",IF(D57&lt;=-$D$8*$D$11,"Pérdida diaria alcanzada","")))</f>
        <v/>
      </c>
      <c r="I57" s="1" t="n"/>
      <c r="J57" s="1" t="n"/>
      <c r="K57" s="1" t="n"/>
      <c r="L57" s="1" t="n"/>
      <c r="M57" s="1" t="n"/>
      <c r="N57" s="1" t="n"/>
      <c r="O57" s="1" t="n"/>
      <c r="P57" s="1" t="n"/>
    </row>
    <row r="58">
      <c r="A58" s="1" t="n"/>
      <c r="B58" s="71" t="str">
        <f>IF(32&gt;$H$9,"",32)</f>
        <v/>
      </c>
      <c r="C58" s="72" t="str">
        <f>IF(B58="","",INDEX('Diario'!$D$5:$D$504,MATCH(32,'Diario'!$AW$5:$AW$504,0)))</f>
        <v/>
      </c>
      <c r="D58" s="47" t="str">
        <f>IF(B58="","",INDEX('Diario'!$AX$5:$AX$504,MATCH(32,'Diario'!$AW$5:$AW$504,0)))</f>
        <v/>
      </c>
      <c r="E58" s="47" t="str">
        <f>IF(B58="","",E57+D58)</f>
        <v/>
      </c>
      <c r="F58" s="47" t="str">
        <f>IF(B58="","",E57-$D$8*$D$11)</f>
        <v/>
      </c>
      <c r="G58" s="47" t="str">
        <f>IF(B58="","",IF($D$13="Trailing (cierre del día)",MIN($D$8,MAX($D$8,MAX(E$27:E57))-$D$8*$D$12),$D$8*(1-$D$12)))</f>
        <v/>
      </c>
      <c r="H58" s="73" t="str">
        <f>IF(B58="","",IF(E58&lt;=G58,"Pérdida máx. alcanzada",IF(D58&lt;=-$D$8*$D$11,"Pérdida diaria alcanzada","")))</f>
        <v/>
      </c>
      <c r="I58" s="1" t="n"/>
      <c r="J58" s="1" t="n"/>
      <c r="K58" s="1" t="n"/>
      <c r="L58" s="1" t="n"/>
      <c r="M58" s="1" t="n"/>
      <c r="N58" s="1" t="n"/>
      <c r="O58" s="1" t="n"/>
      <c r="P58" s="1" t="n"/>
    </row>
    <row r="59">
      <c r="A59" s="1" t="n"/>
      <c r="B59" s="71" t="str">
        <f>IF(33&gt;$H$9,"",33)</f>
        <v/>
      </c>
      <c r="C59" s="72" t="str">
        <f>IF(B59="","",INDEX('Diario'!$D$5:$D$504,MATCH(33,'Diario'!$AW$5:$AW$504,0)))</f>
        <v/>
      </c>
      <c r="D59" s="47" t="str">
        <f>IF(B59="","",INDEX('Diario'!$AX$5:$AX$504,MATCH(33,'Diario'!$AW$5:$AW$504,0)))</f>
        <v/>
      </c>
      <c r="E59" s="47" t="str">
        <f>IF(B59="","",E58+D59)</f>
        <v/>
      </c>
      <c r="F59" s="47" t="str">
        <f>IF(B59="","",E58-$D$8*$D$11)</f>
        <v/>
      </c>
      <c r="G59" s="47" t="str">
        <f>IF(B59="","",IF($D$13="Trailing (cierre del día)",MIN($D$8,MAX($D$8,MAX(E$27:E58))-$D$8*$D$12),$D$8*(1-$D$12)))</f>
        <v/>
      </c>
      <c r="H59" s="73" t="str">
        <f>IF(B59="","",IF(E59&lt;=G59,"Pérdida máx. alcanzada",IF(D59&lt;=-$D$8*$D$11,"Pérdida diaria alcanzada","")))</f>
        <v/>
      </c>
      <c r="I59" s="1" t="n"/>
      <c r="J59" s="1" t="n"/>
      <c r="K59" s="1" t="n"/>
      <c r="L59" s="1" t="n"/>
      <c r="M59" s="1" t="n"/>
      <c r="N59" s="1" t="n"/>
      <c r="O59" s="1" t="n"/>
      <c r="P59" s="1" t="n"/>
    </row>
    <row r="60">
      <c r="A60" s="1" t="n"/>
      <c r="B60" s="71" t="str">
        <f>IF(34&gt;$H$9,"",34)</f>
        <v/>
      </c>
      <c r="C60" s="72" t="str">
        <f>IF(B60="","",INDEX('Diario'!$D$5:$D$504,MATCH(34,'Diario'!$AW$5:$AW$504,0)))</f>
        <v/>
      </c>
      <c r="D60" s="47" t="str">
        <f>IF(B60="","",INDEX('Diario'!$AX$5:$AX$504,MATCH(34,'Diario'!$AW$5:$AW$504,0)))</f>
        <v/>
      </c>
      <c r="E60" s="47" t="str">
        <f>IF(B60="","",E59+D60)</f>
        <v/>
      </c>
      <c r="F60" s="47" t="str">
        <f>IF(B60="","",E59-$D$8*$D$11)</f>
        <v/>
      </c>
      <c r="G60" s="47" t="str">
        <f>IF(B60="","",IF($D$13="Trailing (cierre del día)",MIN($D$8,MAX($D$8,MAX(E$27:E59))-$D$8*$D$12),$D$8*(1-$D$12)))</f>
        <v/>
      </c>
      <c r="H60" s="73" t="str">
        <f>IF(B60="","",IF(E60&lt;=G60,"Pérdida máx. alcanzada",IF(D60&lt;=-$D$8*$D$11,"Pérdida diaria alcanzada","")))</f>
        <v/>
      </c>
      <c r="I60" s="1" t="n"/>
      <c r="J60" s="1" t="n"/>
      <c r="K60" s="1" t="n"/>
      <c r="L60" s="1" t="n"/>
      <c r="M60" s="1" t="n"/>
      <c r="N60" s="1" t="n"/>
      <c r="O60" s="1" t="n"/>
      <c r="P60" s="1" t="n"/>
    </row>
    <row r="61">
      <c r="A61" s="1" t="n"/>
      <c r="B61" s="71" t="str">
        <f>IF(35&gt;$H$9,"",35)</f>
        <v/>
      </c>
      <c r="C61" s="72" t="str">
        <f>IF(B61="","",INDEX('Diario'!$D$5:$D$504,MATCH(35,'Diario'!$AW$5:$AW$504,0)))</f>
        <v/>
      </c>
      <c r="D61" s="47" t="str">
        <f>IF(B61="","",INDEX('Diario'!$AX$5:$AX$504,MATCH(35,'Diario'!$AW$5:$AW$504,0)))</f>
        <v/>
      </c>
      <c r="E61" s="47" t="str">
        <f>IF(B61="","",E60+D61)</f>
        <v/>
      </c>
      <c r="F61" s="47" t="str">
        <f>IF(B61="","",E60-$D$8*$D$11)</f>
        <v/>
      </c>
      <c r="G61" s="47" t="str">
        <f>IF(B61="","",IF($D$13="Trailing (cierre del día)",MIN($D$8,MAX($D$8,MAX(E$27:E60))-$D$8*$D$12),$D$8*(1-$D$12)))</f>
        <v/>
      </c>
      <c r="H61" s="73" t="str">
        <f>IF(B61="","",IF(E61&lt;=G61,"Pérdida máx. alcanzada",IF(D61&lt;=-$D$8*$D$11,"Pérdida diaria alcanzada","")))</f>
        <v/>
      </c>
      <c r="I61" s="1" t="n"/>
      <c r="J61" s="1" t="n"/>
      <c r="K61" s="1" t="n"/>
      <c r="L61" s="1" t="n"/>
      <c r="M61" s="1" t="n"/>
      <c r="N61" s="1" t="n"/>
      <c r="O61" s="1" t="n"/>
      <c r="P61" s="1" t="n"/>
    </row>
    <row r="62">
      <c r="A62" s="1" t="n"/>
      <c r="B62" s="71" t="str">
        <f>IF(36&gt;$H$9,"",36)</f>
        <v/>
      </c>
      <c r="C62" s="72" t="str">
        <f>IF(B62="","",INDEX('Diario'!$D$5:$D$504,MATCH(36,'Diario'!$AW$5:$AW$504,0)))</f>
        <v/>
      </c>
      <c r="D62" s="47" t="str">
        <f>IF(B62="","",INDEX('Diario'!$AX$5:$AX$504,MATCH(36,'Diario'!$AW$5:$AW$504,0)))</f>
        <v/>
      </c>
      <c r="E62" s="47" t="str">
        <f>IF(B62="","",E61+D62)</f>
        <v/>
      </c>
      <c r="F62" s="47" t="str">
        <f>IF(B62="","",E61-$D$8*$D$11)</f>
        <v/>
      </c>
      <c r="G62" s="47" t="str">
        <f>IF(B62="","",IF($D$13="Trailing (cierre del día)",MIN($D$8,MAX($D$8,MAX(E$27:E61))-$D$8*$D$12),$D$8*(1-$D$12)))</f>
        <v/>
      </c>
      <c r="H62" s="73" t="str">
        <f>IF(B62="","",IF(E62&lt;=G62,"Pérdida máx. alcanzada",IF(D62&lt;=-$D$8*$D$11,"Pérdida diaria alcanzada","")))</f>
        <v/>
      </c>
      <c r="I62" s="1" t="n"/>
      <c r="J62" s="1" t="n"/>
      <c r="K62" s="1" t="n"/>
      <c r="L62" s="1" t="n"/>
      <c r="M62" s="1" t="n"/>
      <c r="N62" s="1" t="n"/>
      <c r="O62" s="1" t="n"/>
      <c r="P62" s="1" t="n"/>
    </row>
    <row r="63">
      <c r="A63" s="1" t="n"/>
      <c r="B63" s="71" t="str">
        <f>IF(37&gt;$H$9,"",37)</f>
        <v/>
      </c>
      <c r="C63" s="72" t="str">
        <f>IF(B63="","",INDEX('Diario'!$D$5:$D$504,MATCH(37,'Diario'!$AW$5:$AW$504,0)))</f>
        <v/>
      </c>
      <c r="D63" s="47" t="str">
        <f>IF(B63="","",INDEX('Diario'!$AX$5:$AX$504,MATCH(37,'Diario'!$AW$5:$AW$504,0)))</f>
        <v/>
      </c>
      <c r="E63" s="47" t="str">
        <f>IF(B63="","",E62+D63)</f>
        <v/>
      </c>
      <c r="F63" s="47" t="str">
        <f>IF(B63="","",E62-$D$8*$D$11)</f>
        <v/>
      </c>
      <c r="G63" s="47" t="str">
        <f>IF(B63="","",IF($D$13="Trailing (cierre del día)",MIN($D$8,MAX($D$8,MAX(E$27:E62))-$D$8*$D$12),$D$8*(1-$D$12)))</f>
        <v/>
      </c>
      <c r="H63" s="73" t="str">
        <f>IF(B63="","",IF(E63&lt;=G63,"Pérdida máx. alcanzada",IF(D63&lt;=-$D$8*$D$11,"Pérdida diaria alcanzada","")))</f>
        <v/>
      </c>
      <c r="I63" s="1" t="n"/>
      <c r="J63" s="1" t="n"/>
      <c r="K63" s="1" t="n"/>
      <c r="L63" s="1" t="n"/>
      <c r="M63" s="1" t="n"/>
      <c r="N63" s="1" t="n"/>
      <c r="O63" s="1" t="n"/>
      <c r="P63" s="1" t="n"/>
    </row>
    <row r="64">
      <c r="A64" s="1" t="n"/>
      <c r="B64" s="71" t="str">
        <f>IF(38&gt;$H$9,"",38)</f>
        <v/>
      </c>
      <c r="C64" s="72" t="str">
        <f>IF(B64="","",INDEX('Diario'!$D$5:$D$504,MATCH(38,'Diario'!$AW$5:$AW$504,0)))</f>
        <v/>
      </c>
      <c r="D64" s="47" t="str">
        <f>IF(B64="","",INDEX('Diario'!$AX$5:$AX$504,MATCH(38,'Diario'!$AW$5:$AW$504,0)))</f>
        <v/>
      </c>
      <c r="E64" s="47" t="str">
        <f>IF(B64="","",E63+D64)</f>
        <v/>
      </c>
      <c r="F64" s="47" t="str">
        <f>IF(B64="","",E63-$D$8*$D$11)</f>
        <v/>
      </c>
      <c r="G64" s="47" t="str">
        <f>IF(B64="","",IF($D$13="Trailing (cierre del día)",MIN($D$8,MAX($D$8,MAX(E$27:E63))-$D$8*$D$12),$D$8*(1-$D$12)))</f>
        <v/>
      </c>
      <c r="H64" s="73" t="str">
        <f>IF(B64="","",IF(E64&lt;=G64,"Pérdida máx. alcanzada",IF(D64&lt;=-$D$8*$D$11,"Pérdida diaria alcanzada","")))</f>
        <v/>
      </c>
      <c r="I64" s="1" t="n"/>
      <c r="J64" s="1" t="n"/>
      <c r="K64" s="1" t="n"/>
      <c r="L64" s="1" t="n"/>
      <c r="M64" s="1" t="n"/>
      <c r="N64" s="1" t="n"/>
      <c r="O64" s="1" t="n"/>
      <c r="P64" s="1" t="n"/>
    </row>
    <row r="65">
      <c r="A65" s="1" t="n"/>
      <c r="B65" s="71" t="str">
        <f>IF(39&gt;$H$9,"",39)</f>
        <v/>
      </c>
      <c r="C65" s="72" t="str">
        <f>IF(B65="","",INDEX('Diario'!$D$5:$D$504,MATCH(39,'Diario'!$AW$5:$AW$504,0)))</f>
        <v/>
      </c>
      <c r="D65" s="47" t="str">
        <f>IF(B65="","",INDEX('Diario'!$AX$5:$AX$504,MATCH(39,'Diario'!$AW$5:$AW$504,0)))</f>
        <v/>
      </c>
      <c r="E65" s="47" t="str">
        <f>IF(B65="","",E64+D65)</f>
        <v/>
      </c>
      <c r="F65" s="47" t="str">
        <f>IF(B65="","",E64-$D$8*$D$11)</f>
        <v/>
      </c>
      <c r="G65" s="47" t="str">
        <f>IF(B65="","",IF($D$13="Trailing (cierre del día)",MIN($D$8,MAX($D$8,MAX(E$27:E64))-$D$8*$D$12),$D$8*(1-$D$12)))</f>
        <v/>
      </c>
      <c r="H65" s="73" t="str">
        <f>IF(B65="","",IF(E65&lt;=G65,"Pérdida máx. alcanzada",IF(D65&lt;=-$D$8*$D$11,"Pérdida diaria alcanzada","")))</f>
        <v/>
      </c>
      <c r="I65" s="1" t="n"/>
      <c r="J65" s="1" t="n"/>
      <c r="K65" s="1" t="n"/>
      <c r="L65" s="1" t="n"/>
      <c r="M65" s="1" t="n"/>
      <c r="N65" s="1" t="n"/>
      <c r="O65" s="1" t="n"/>
      <c r="P65" s="1" t="n"/>
    </row>
    <row r="66">
      <c r="A66" s="1" t="n"/>
      <c r="B66" s="71" t="str">
        <f>IF(40&gt;$H$9,"",40)</f>
        <v/>
      </c>
      <c r="C66" s="72" t="str">
        <f>IF(B66="","",INDEX('Diario'!$D$5:$D$504,MATCH(40,'Diario'!$AW$5:$AW$504,0)))</f>
        <v/>
      </c>
      <c r="D66" s="47" t="str">
        <f>IF(B66="","",INDEX('Diario'!$AX$5:$AX$504,MATCH(40,'Diario'!$AW$5:$AW$504,0)))</f>
        <v/>
      </c>
      <c r="E66" s="47" t="str">
        <f>IF(B66="","",E65+D66)</f>
        <v/>
      </c>
      <c r="F66" s="47" t="str">
        <f>IF(B66="","",E65-$D$8*$D$11)</f>
        <v/>
      </c>
      <c r="G66" s="47" t="str">
        <f>IF(B66="","",IF($D$13="Trailing (cierre del día)",MIN($D$8,MAX($D$8,MAX(E$27:E65))-$D$8*$D$12),$D$8*(1-$D$12)))</f>
        <v/>
      </c>
      <c r="H66" s="73" t="str">
        <f>IF(B66="","",IF(E66&lt;=G66,"Pérdida máx. alcanzada",IF(D66&lt;=-$D$8*$D$11,"Pérdida diaria alcanzada","")))</f>
        <v/>
      </c>
      <c r="I66" s="1" t="n"/>
      <c r="J66" s="1" t="n"/>
      <c r="K66" s="1" t="n"/>
      <c r="L66" s="1" t="n"/>
      <c r="M66" s="1" t="n"/>
      <c r="N66" s="1" t="n"/>
      <c r="O66" s="1" t="n"/>
      <c r="P66" s="1" t="n"/>
    </row>
    <row r="67">
      <c r="A67" s="1" t="n"/>
      <c r="B67" s="71" t="str">
        <f>IF(41&gt;$H$9,"",41)</f>
        <v/>
      </c>
      <c r="C67" s="72" t="str">
        <f>IF(B67="","",INDEX('Diario'!$D$5:$D$504,MATCH(41,'Diario'!$AW$5:$AW$504,0)))</f>
        <v/>
      </c>
      <c r="D67" s="47" t="str">
        <f>IF(B67="","",INDEX('Diario'!$AX$5:$AX$504,MATCH(41,'Diario'!$AW$5:$AW$504,0)))</f>
        <v/>
      </c>
      <c r="E67" s="47" t="str">
        <f>IF(B67="","",E66+D67)</f>
        <v/>
      </c>
      <c r="F67" s="47" t="str">
        <f>IF(B67="","",E66-$D$8*$D$11)</f>
        <v/>
      </c>
      <c r="G67" s="47" t="str">
        <f>IF(B67="","",IF($D$13="Trailing (cierre del día)",MIN($D$8,MAX($D$8,MAX(E$27:E66))-$D$8*$D$12),$D$8*(1-$D$12)))</f>
        <v/>
      </c>
      <c r="H67" s="73" t="str">
        <f>IF(B67="","",IF(E67&lt;=G67,"Pérdida máx. alcanzada",IF(D67&lt;=-$D$8*$D$11,"Pérdida diaria alcanzada","")))</f>
        <v/>
      </c>
      <c r="I67" s="1" t="n"/>
      <c r="J67" s="1" t="n"/>
      <c r="K67" s="1" t="n"/>
      <c r="L67" s="1" t="n"/>
      <c r="M67" s="1" t="n"/>
      <c r="N67" s="1" t="n"/>
      <c r="O67" s="1" t="n"/>
      <c r="P67" s="1" t="n"/>
    </row>
    <row r="68">
      <c r="A68" s="1" t="n"/>
      <c r="B68" s="71" t="str">
        <f>IF(42&gt;$H$9,"",42)</f>
        <v/>
      </c>
      <c r="C68" s="72" t="str">
        <f>IF(B68="","",INDEX('Diario'!$D$5:$D$504,MATCH(42,'Diario'!$AW$5:$AW$504,0)))</f>
        <v/>
      </c>
      <c r="D68" s="47" t="str">
        <f>IF(B68="","",INDEX('Diario'!$AX$5:$AX$504,MATCH(42,'Diario'!$AW$5:$AW$504,0)))</f>
        <v/>
      </c>
      <c r="E68" s="47" t="str">
        <f>IF(B68="","",E67+D68)</f>
        <v/>
      </c>
      <c r="F68" s="47" t="str">
        <f>IF(B68="","",E67-$D$8*$D$11)</f>
        <v/>
      </c>
      <c r="G68" s="47" t="str">
        <f>IF(B68="","",IF($D$13="Trailing (cierre del día)",MIN($D$8,MAX($D$8,MAX(E$27:E67))-$D$8*$D$12),$D$8*(1-$D$12)))</f>
        <v/>
      </c>
      <c r="H68" s="73" t="str">
        <f>IF(B68="","",IF(E68&lt;=G68,"Pérdida máx. alcanzada",IF(D68&lt;=-$D$8*$D$11,"Pérdida diaria alcanzada","")))</f>
        <v/>
      </c>
      <c r="I68" s="1" t="n"/>
      <c r="J68" s="1" t="n"/>
      <c r="K68" s="1" t="n"/>
      <c r="L68" s="1" t="n"/>
      <c r="M68" s="1" t="n"/>
      <c r="N68" s="1" t="n"/>
      <c r="O68" s="1" t="n"/>
      <c r="P68" s="1" t="n"/>
    </row>
    <row r="69">
      <c r="A69" s="1" t="n"/>
      <c r="B69" s="71" t="str">
        <f>IF(43&gt;$H$9,"",43)</f>
        <v/>
      </c>
      <c r="C69" s="72" t="str">
        <f>IF(B69="","",INDEX('Diario'!$D$5:$D$504,MATCH(43,'Diario'!$AW$5:$AW$504,0)))</f>
        <v/>
      </c>
      <c r="D69" s="47" t="str">
        <f>IF(B69="","",INDEX('Diario'!$AX$5:$AX$504,MATCH(43,'Diario'!$AW$5:$AW$504,0)))</f>
        <v/>
      </c>
      <c r="E69" s="47" t="str">
        <f>IF(B69="","",E68+D69)</f>
        <v/>
      </c>
      <c r="F69" s="47" t="str">
        <f>IF(B69="","",E68-$D$8*$D$11)</f>
        <v/>
      </c>
      <c r="G69" s="47" t="str">
        <f>IF(B69="","",IF($D$13="Trailing (cierre del día)",MIN($D$8,MAX($D$8,MAX(E$27:E68))-$D$8*$D$12),$D$8*(1-$D$12)))</f>
        <v/>
      </c>
      <c r="H69" s="73" t="str">
        <f>IF(B69="","",IF(E69&lt;=G69,"Pérdida máx. alcanzada",IF(D69&lt;=-$D$8*$D$11,"Pérdida diaria alcanzada","")))</f>
        <v/>
      </c>
      <c r="I69" s="1" t="n"/>
      <c r="J69" s="1" t="n"/>
      <c r="K69" s="1" t="n"/>
      <c r="L69" s="1" t="n"/>
      <c r="M69" s="1" t="n"/>
      <c r="N69" s="1" t="n"/>
      <c r="O69" s="1" t="n"/>
      <c r="P69" s="1" t="n"/>
    </row>
    <row r="70">
      <c r="A70" s="1" t="n"/>
      <c r="B70" s="71" t="str">
        <f>IF(44&gt;$H$9,"",44)</f>
        <v/>
      </c>
      <c r="C70" s="72" t="str">
        <f>IF(B70="","",INDEX('Diario'!$D$5:$D$504,MATCH(44,'Diario'!$AW$5:$AW$504,0)))</f>
        <v/>
      </c>
      <c r="D70" s="47" t="str">
        <f>IF(B70="","",INDEX('Diario'!$AX$5:$AX$504,MATCH(44,'Diario'!$AW$5:$AW$504,0)))</f>
        <v/>
      </c>
      <c r="E70" s="47" t="str">
        <f>IF(B70="","",E69+D70)</f>
        <v/>
      </c>
      <c r="F70" s="47" t="str">
        <f>IF(B70="","",E69-$D$8*$D$11)</f>
        <v/>
      </c>
      <c r="G70" s="47" t="str">
        <f>IF(B70="","",IF($D$13="Trailing (cierre del día)",MIN($D$8,MAX($D$8,MAX(E$27:E69))-$D$8*$D$12),$D$8*(1-$D$12)))</f>
        <v/>
      </c>
      <c r="H70" s="73" t="str">
        <f>IF(B70="","",IF(E70&lt;=G70,"Pérdida máx. alcanzada",IF(D70&lt;=-$D$8*$D$11,"Pérdida diaria alcanzada","")))</f>
        <v/>
      </c>
      <c r="I70" s="1" t="n"/>
      <c r="J70" s="1" t="n"/>
      <c r="K70" s="1" t="n"/>
      <c r="L70" s="1" t="n"/>
      <c r="M70" s="1" t="n"/>
      <c r="N70" s="1" t="n"/>
      <c r="O70" s="1" t="n"/>
      <c r="P70" s="1" t="n"/>
    </row>
    <row r="71">
      <c r="A71" s="1" t="n"/>
      <c r="B71" s="71" t="str">
        <f>IF(45&gt;$H$9,"",45)</f>
        <v/>
      </c>
      <c r="C71" s="72" t="str">
        <f>IF(B71="","",INDEX('Diario'!$D$5:$D$504,MATCH(45,'Diario'!$AW$5:$AW$504,0)))</f>
        <v/>
      </c>
      <c r="D71" s="47" t="str">
        <f>IF(B71="","",INDEX('Diario'!$AX$5:$AX$504,MATCH(45,'Diario'!$AW$5:$AW$504,0)))</f>
        <v/>
      </c>
      <c r="E71" s="47" t="str">
        <f>IF(B71="","",E70+D71)</f>
        <v/>
      </c>
      <c r="F71" s="47" t="str">
        <f>IF(B71="","",E70-$D$8*$D$11)</f>
        <v/>
      </c>
      <c r="G71" s="47" t="str">
        <f>IF(B71="","",IF($D$13="Trailing (cierre del día)",MIN($D$8,MAX($D$8,MAX(E$27:E70))-$D$8*$D$12),$D$8*(1-$D$12)))</f>
        <v/>
      </c>
      <c r="H71" s="73" t="str">
        <f>IF(B71="","",IF(E71&lt;=G71,"Pérdida máx. alcanzada",IF(D71&lt;=-$D$8*$D$11,"Pérdida diaria alcanzada","")))</f>
        <v/>
      </c>
      <c r="I71" s="1" t="n"/>
      <c r="J71" s="1" t="n"/>
      <c r="K71" s="1" t="n"/>
      <c r="L71" s="1" t="n"/>
      <c r="M71" s="1" t="n"/>
      <c r="N71" s="1" t="n"/>
      <c r="O71" s="1" t="n"/>
      <c r="P71" s="1" t="n"/>
    </row>
    <row r="72">
      <c r="A72" s="1" t="n"/>
      <c r="B72" s="71" t="str">
        <f>IF(46&gt;$H$9,"",46)</f>
        <v/>
      </c>
      <c r="C72" s="72" t="str">
        <f>IF(B72="","",INDEX('Diario'!$D$5:$D$504,MATCH(46,'Diario'!$AW$5:$AW$504,0)))</f>
        <v/>
      </c>
      <c r="D72" s="47" t="str">
        <f>IF(B72="","",INDEX('Diario'!$AX$5:$AX$504,MATCH(46,'Diario'!$AW$5:$AW$504,0)))</f>
        <v/>
      </c>
      <c r="E72" s="47" t="str">
        <f>IF(B72="","",E71+D72)</f>
        <v/>
      </c>
      <c r="F72" s="47" t="str">
        <f>IF(B72="","",E71-$D$8*$D$11)</f>
        <v/>
      </c>
      <c r="G72" s="47" t="str">
        <f>IF(B72="","",IF($D$13="Trailing (cierre del día)",MIN($D$8,MAX($D$8,MAX(E$27:E71))-$D$8*$D$12),$D$8*(1-$D$12)))</f>
        <v/>
      </c>
      <c r="H72" s="73" t="str">
        <f>IF(B72="","",IF(E72&lt;=G72,"Pérdida máx. alcanzada",IF(D72&lt;=-$D$8*$D$11,"Pérdida diaria alcanzada","")))</f>
        <v/>
      </c>
      <c r="I72" s="1" t="n"/>
      <c r="J72" s="1" t="n"/>
      <c r="K72" s="1" t="n"/>
      <c r="L72" s="1" t="n"/>
      <c r="M72" s="1" t="n"/>
      <c r="N72" s="1" t="n"/>
      <c r="O72" s="1" t="n"/>
      <c r="P72" s="1" t="n"/>
    </row>
    <row r="73">
      <c r="A73" s="1" t="n"/>
      <c r="B73" s="71" t="str">
        <f>IF(47&gt;$H$9,"",47)</f>
        <v/>
      </c>
      <c r="C73" s="72" t="str">
        <f>IF(B73="","",INDEX('Diario'!$D$5:$D$504,MATCH(47,'Diario'!$AW$5:$AW$504,0)))</f>
        <v/>
      </c>
      <c r="D73" s="47" t="str">
        <f>IF(B73="","",INDEX('Diario'!$AX$5:$AX$504,MATCH(47,'Diario'!$AW$5:$AW$504,0)))</f>
        <v/>
      </c>
      <c r="E73" s="47" t="str">
        <f>IF(B73="","",E72+D73)</f>
        <v/>
      </c>
      <c r="F73" s="47" t="str">
        <f>IF(B73="","",E72-$D$8*$D$11)</f>
        <v/>
      </c>
      <c r="G73" s="47" t="str">
        <f>IF(B73="","",IF($D$13="Trailing (cierre del día)",MIN($D$8,MAX($D$8,MAX(E$27:E72))-$D$8*$D$12),$D$8*(1-$D$12)))</f>
        <v/>
      </c>
      <c r="H73" s="73" t="str">
        <f>IF(B73="","",IF(E73&lt;=G73,"Pérdida máx. alcanzada",IF(D73&lt;=-$D$8*$D$11,"Pérdida diaria alcanzada","")))</f>
        <v/>
      </c>
      <c r="I73" s="1" t="n"/>
      <c r="J73" s="1" t="n"/>
      <c r="K73" s="1" t="n"/>
      <c r="L73" s="1" t="n"/>
      <c r="M73" s="1" t="n"/>
      <c r="N73" s="1" t="n"/>
      <c r="O73" s="1" t="n"/>
      <c r="P73" s="1" t="n"/>
    </row>
    <row r="74">
      <c r="A74" s="1" t="n"/>
      <c r="B74" s="71" t="str">
        <f>IF(48&gt;$H$9,"",48)</f>
        <v/>
      </c>
      <c r="C74" s="72" t="str">
        <f>IF(B74="","",INDEX('Diario'!$D$5:$D$504,MATCH(48,'Diario'!$AW$5:$AW$504,0)))</f>
        <v/>
      </c>
      <c r="D74" s="47" t="str">
        <f>IF(B74="","",INDEX('Diario'!$AX$5:$AX$504,MATCH(48,'Diario'!$AW$5:$AW$504,0)))</f>
        <v/>
      </c>
      <c r="E74" s="47" t="str">
        <f>IF(B74="","",E73+D74)</f>
        <v/>
      </c>
      <c r="F74" s="47" t="str">
        <f>IF(B74="","",E73-$D$8*$D$11)</f>
        <v/>
      </c>
      <c r="G74" s="47" t="str">
        <f>IF(B74="","",IF($D$13="Trailing (cierre del día)",MIN($D$8,MAX($D$8,MAX(E$27:E73))-$D$8*$D$12),$D$8*(1-$D$12)))</f>
        <v/>
      </c>
      <c r="H74" s="73" t="str">
        <f>IF(B74="","",IF(E74&lt;=G74,"Pérdida máx. alcanzada",IF(D74&lt;=-$D$8*$D$11,"Pérdida diaria alcanzada","")))</f>
        <v/>
      </c>
      <c r="I74" s="1" t="n"/>
      <c r="J74" s="1" t="n"/>
      <c r="K74" s="1" t="n"/>
      <c r="L74" s="1" t="n"/>
      <c r="M74" s="1" t="n"/>
      <c r="N74" s="1" t="n"/>
      <c r="O74" s="1" t="n"/>
      <c r="P74" s="1" t="n"/>
    </row>
    <row r="75">
      <c r="A75" s="1" t="n"/>
      <c r="B75" s="71" t="str">
        <f>IF(49&gt;$H$9,"",49)</f>
        <v/>
      </c>
      <c r="C75" s="72" t="str">
        <f>IF(B75="","",INDEX('Diario'!$D$5:$D$504,MATCH(49,'Diario'!$AW$5:$AW$504,0)))</f>
        <v/>
      </c>
      <c r="D75" s="47" t="str">
        <f>IF(B75="","",INDEX('Diario'!$AX$5:$AX$504,MATCH(49,'Diario'!$AW$5:$AW$504,0)))</f>
        <v/>
      </c>
      <c r="E75" s="47" t="str">
        <f>IF(B75="","",E74+D75)</f>
        <v/>
      </c>
      <c r="F75" s="47" t="str">
        <f>IF(B75="","",E74-$D$8*$D$11)</f>
        <v/>
      </c>
      <c r="G75" s="47" t="str">
        <f>IF(B75="","",IF($D$13="Trailing (cierre del día)",MIN($D$8,MAX($D$8,MAX(E$27:E74))-$D$8*$D$12),$D$8*(1-$D$12)))</f>
        <v/>
      </c>
      <c r="H75" s="73" t="str">
        <f>IF(B75="","",IF(E75&lt;=G75,"Pérdida máx. alcanzada",IF(D75&lt;=-$D$8*$D$11,"Pérdida diaria alcanzada","")))</f>
        <v/>
      </c>
      <c r="I75" s="1" t="n"/>
      <c r="J75" s="1" t="n"/>
      <c r="K75" s="1" t="n"/>
      <c r="L75" s="1" t="n"/>
      <c r="M75" s="1" t="n"/>
      <c r="N75" s="1" t="n"/>
      <c r="O75" s="1" t="n"/>
      <c r="P75" s="1" t="n"/>
    </row>
    <row r="76">
      <c r="A76" s="1" t="n"/>
      <c r="B76" s="71" t="str">
        <f>IF(50&gt;$H$9,"",50)</f>
        <v/>
      </c>
      <c r="C76" s="72" t="str">
        <f>IF(B76="","",INDEX('Diario'!$D$5:$D$504,MATCH(50,'Diario'!$AW$5:$AW$504,0)))</f>
        <v/>
      </c>
      <c r="D76" s="47" t="str">
        <f>IF(B76="","",INDEX('Diario'!$AX$5:$AX$504,MATCH(50,'Diario'!$AW$5:$AW$504,0)))</f>
        <v/>
      </c>
      <c r="E76" s="47" t="str">
        <f>IF(B76="","",E75+D76)</f>
        <v/>
      </c>
      <c r="F76" s="47" t="str">
        <f>IF(B76="","",E75-$D$8*$D$11)</f>
        <v/>
      </c>
      <c r="G76" s="47" t="str">
        <f>IF(B76="","",IF($D$13="Trailing (cierre del día)",MIN($D$8,MAX($D$8,MAX(E$27:E75))-$D$8*$D$12),$D$8*(1-$D$12)))</f>
        <v/>
      </c>
      <c r="H76" s="73" t="str">
        <f>IF(B76="","",IF(E76&lt;=G76,"Pérdida máx. alcanzada",IF(D76&lt;=-$D$8*$D$11,"Pérdida diaria alcanzada","")))</f>
        <v/>
      </c>
      <c r="I76" s="1" t="n"/>
      <c r="J76" s="1" t="n"/>
      <c r="K76" s="1" t="n"/>
      <c r="L76" s="1" t="n"/>
      <c r="M76" s="1" t="n"/>
      <c r="N76" s="1" t="n"/>
      <c r="O76" s="1" t="n"/>
      <c r="P76" s="1" t="n"/>
    </row>
    <row r="77">
      <c r="A77" s="1" t="n"/>
      <c r="B77" s="71" t="str">
        <f>IF(51&gt;$H$9,"",51)</f>
        <v/>
      </c>
      <c r="C77" s="72" t="str">
        <f>IF(B77="","",INDEX('Diario'!$D$5:$D$504,MATCH(51,'Diario'!$AW$5:$AW$504,0)))</f>
        <v/>
      </c>
      <c r="D77" s="47" t="str">
        <f>IF(B77="","",INDEX('Diario'!$AX$5:$AX$504,MATCH(51,'Diario'!$AW$5:$AW$504,0)))</f>
        <v/>
      </c>
      <c r="E77" s="47" t="str">
        <f>IF(B77="","",E76+D77)</f>
        <v/>
      </c>
      <c r="F77" s="47" t="str">
        <f>IF(B77="","",E76-$D$8*$D$11)</f>
        <v/>
      </c>
      <c r="G77" s="47" t="str">
        <f>IF(B77="","",IF($D$13="Trailing (cierre del día)",MIN($D$8,MAX($D$8,MAX(E$27:E76))-$D$8*$D$12),$D$8*(1-$D$12)))</f>
        <v/>
      </c>
      <c r="H77" s="73" t="str">
        <f>IF(B77="","",IF(E77&lt;=G77,"Pérdida máx. alcanzada",IF(D77&lt;=-$D$8*$D$11,"Pérdida diaria alcanzada","")))</f>
        <v/>
      </c>
      <c r="I77" s="1" t="n"/>
      <c r="J77" s="1" t="n"/>
      <c r="K77" s="1" t="n"/>
      <c r="L77" s="1" t="n"/>
      <c r="M77" s="1" t="n"/>
      <c r="N77" s="1" t="n"/>
      <c r="O77" s="1" t="n"/>
      <c r="P77" s="1" t="n"/>
    </row>
    <row r="78">
      <c r="A78" s="1" t="n"/>
      <c r="B78" s="71" t="str">
        <f>IF(52&gt;$H$9,"",52)</f>
        <v/>
      </c>
      <c r="C78" s="72" t="str">
        <f>IF(B78="","",INDEX('Diario'!$D$5:$D$504,MATCH(52,'Diario'!$AW$5:$AW$504,0)))</f>
        <v/>
      </c>
      <c r="D78" s="47" t="str">
        <f>IF(B78="","",INDEX('Diario'!$AX$5:$AX$504,MATCH(52,'Diario'!$AW$5:$AW$504,0)))</f>
        <v/>
      </c>
      <c r="E78" s="47" t="str">
        <f>IF(B78="","",E77+D78)</f>
        <v/>
      </c>
      <c r="F78" s="47" t="str">
        <f>IF(B78="","",E77-$D$8*$D$11)</f>
        <v/>
      </c>
      <c r="G78" s="47" t="str">
        <f>IF(B78="","",IF($D$13="Trailing (cierre del día)",MIN($D$8,MAX($D$8,MAX(E$27:E77))-$D$8*$D$12),$D$8*(1-$D$12)))</f>
        <v/>
      </c>
      <c r="H78" s="73" t="str">
        <f>IF(B78="","",IF(E78&lt;=G78,"Pérdida máx. alcanzada",IF(D78&lt;=-$D$8*$D$11,"Pérdida diaria alcanzada","")))</f>
        <v/>
      </c>
      <c r="I78" s="1" t="n"/>
      <c r="J78" s="1" t="n"/>
      <c r="K78" s="1" t="n"/>
      <c r="L78" s="1" t="n"/>
      <c r="M78" s="1" t="n"/>
      <c r="N78" s="1" t="n"/>
      <c r="O78" s="1" t="n"/>
      <c r="P78" s="1" t="n"/>
    </row>
    <row r="79">
      <c r="A79" s="1" t="n"/>
      <c r="B79" s="71" t="str">
        <f>IF(53&gt;$H$9,"",53)</f>
        <v/>
      </c>
      <c r="C79" s="72" t="str">
        <f>IF(B79="","",INDEX('Diario'!$D$5:$D$504,MATCH(53,'Diario'!$AW$5:$AW$504,0)))</f>
        <v/>
      </c>
      <c r="D79" s="47" t="str">
        <f>IF(B79="","",INDEX('Diario'!$AX$5:$AX$504,MATCH(53,'Diario'!$AW$5:$AW$504,0)))</f>
        <v/>
      </c>
      <c r="E79" s="47" t="str">
        <f>IF(B79="","",E78+D79)</f>
        <v/>
      </c>
      <c r="F79" s="47" t="str">
        <f>IF(B79="","",E78-$D$8*$D$11)</f>
        <v/>
      </c>
      <c r="G79" s="47" t="str">
        <f>IF(B79="","",IF($D$13="Trailing (cierre del día)",MIN($D$8,MAX($D$8,MAX(E$27:E78))-$D$8*$D$12),$D$8*(1-$D$12)))</f>
        <v/>
      </c>
      <c r="H79" s="73" t="str">
        <f>IF(B79="","",IF(E79&lt;=G79,"Pérdida máx. alcanzada",IF(D79&lt;=-$D$8*$D$11,"Pérdida diaria alcanzada","")))</f>
        <v/>
      </c>
      <c r="I79" s="1" t="n"/>
      <c r="J79" s="1" t="n"/>
      <c r="K79" s="1" t="n"/>
      <c r="L79" s="1" t="n"/>
      <c r="M79" s="1" t="n"/>
      <c r="N79" s="1" t="n"/>
      <c r="O79" s="1" t="n"/>
      <c r="P79" s="1" t="n"/>
    </row>
    <row r="80">
      <c r="A80" s="1" t="n"/>
      <c r="B80" s="71" t="str">
        <f>IF(54&gt;$H$9,"",54)</f>
        <v/>
      </c>
      <c r="C80" s="72" t="str">
        <f>IF(B80="","",INDEX('Diario'!$D$5:$D$504,MATCH(54,'Diario'!$AW$5:$AW$504,0)))</f>
        <v/>
      </c>
      <c r="D80" s="47" t="str">
        <f>IF(B80="","",INDEX('Diario'!$AX$5:$AX$504,MATCH(54,'Diario'!$AW$5:$AW$504,0)))</f>
        <v/>
      </c>
      <c r="E80" s="47" t="str">
        <f>IF(B80="","",E79+D80)</f>
        <v/>
      </c>
      <c r="F80" s="47" t="str">
        <f>IF(B80="","",E79-$D$8*$D$11)</f>
        <v/>
      </c>
      <c r="G80" s="47" t="str">
        <f>IF(B80="","",IF($D$13="Trailing (cierre del día)",MIN($D$8,MAX($D$8,MAX(E$27:E79))-$D$8*$D$12),$D$8*(1-$D$12)))</f>
        <v/>
      </c>
      <c r="H80" s="73" t="str">
        <f>IF(B80="","",IF(E80&lt;=G80,"Pérdida máx. alcanzada",IF(D80&lt;=-$D$8*$D$11,"Pérdida diaria alcanzada","")))</f>
        <v/>
      </c>
      <c r="I80" s="1" t="n"/>
      <c r="J80" s="1" t="n"/>
      <c r="K80" s="1" t="n"/>
      <c r="L80" s="1" t="n"/>
      <c r="M80" s="1" t="n"/>
      <c r="N80" s="1" t="n"/>
      <c r="O80" s="1" t="n"/>
      <c r="P80" s="1" t="n"/>
    </row>
    <row r="81">
      <c r="A81" s="1" t="n"/>
      <c r="B81" s="71" t="str">
        <f>IF(55&gt;$H$9,"",55)</f>
        <v/>
      </c>
      <c r="C81" s="72" t="str">
        <f>IF(B81="","",INDEX('Diario'!$D$5:$D$504,MATCH(55,'Diario'!$AW$5:$AW$504,0)))</f>
        <v/>
      </c>
      <c r="D81" s="47" t="str">
        <f>IF(B81="","",INDEX('Diario'!$AX$5:$AX$504,MATCH(55,'Diario'!$AW$5:$AW$504,0)))</f>
        <v/>
      </c>
      <c r="E81" s="47" t="str">
        <f>IF(B81="","",E80+D81)</f>
        <v/>
      </c>
      <c r="F81" s="47" t="str">
        <f>IF(B81="","",E80-$D$8*$D$11)</f>
        <v/>
      </c>
      <c r="G81" s="47" t="str">
        <f>IF(B81="","",IF($D$13="Trailing (cierre del día)",MIN($D$8,MAX($D$8,MAX(E$27:E80))-$D$8*$D$12),$D$8*(1-$D$12)))</f>
        <v/>
      </c>
      <c r="H81" s="73" t="str">
        <f>IF(B81="","",IF(E81&lt;=G81,"Pérdida máx. alcanzada",IF(D81&lt;=-$D$8*$D$11,"Pérdida diaria alcanzada","")))</f>
        <v/>
      </c>
      <c r="I81" s="1" t="n"/>
      <c r="J81" s="1" t="n"/>
      <c r="K81" s="1" t="n"/>
      <c r="L81" s="1" t="n"/>
      <c r="M81" s="1" t="n"/>
      <c r="N81" s="1" t="n"/>
      <c r="O81" s="1" t="n"/>
      <c r="P81" s="1" t="n"/>
    </row>
    <row r="82">
      <c r="A82" s="1" t="n"/>
      <c r="B82" s="71" t="str">
        <f>IF(56&gt;$H$9,"",56)</f>
        <v/>
      </c>
      <c r="C82" s="72" t="str">
        <f>IF(B82="","",INDEX('Diario'!$D$5:$D$504,MATCH(56,'Diario'!$AW$5:$AW$504,0)))</f>
        <v/>
      </c>
      <c r="D82" s="47" t="str">
        <f>IF(B82="","",INDEX('Diario'!$AX$5:$AX$504,MATCH(56,'Diario'!$AW$5:$AW$504,0)))</f>
        <v/>
      </c>
      <c r="E82" s="47" t="str">
        <f>IF(B82="","",E81+D82)</f>
        <v/>
      </c>
      <c r="F82" s="47" t="str">
        <f>IF(B82="","",E81-$D$8*$D$11)</f>
        <v/>
      </c>
      <c r="G82" s="47" t="str">
        <f>IF(B82="","",IF($D$13="Trailing (cierre del día)",MIN($D$8,MAX($D$8,MAX(E$27:E81))-$D$8*$D$12),$D$8*(1-$D$12)))</f>
        <v/>
      </c>
      <c r="H82" s="73" t="str">
        <f>IF(B82="","",IF(E82&lt;=G82,"Pérdida máx. alcanzada",IF(D82&lt;=-$D$8*$D$11,"Pérdida diaria alcanzada","")))</f>
        <v/>
      </c>
      <c r="I82" s="1" t="n"/>
      <c r="J82" s="1" t="n"/>
      <c r="K82" s="1" t="n"/>
      <c r="L82" s="1" t="n"/>
      <c r="M82" s="1" t="n"/>
      <c r="N82" s="1" t="n"/>
      <c r="O82" s="1" t="n"/>
      <c r="P82" s="1" t="n"/>
    </row>
    <row r="83">
      <c r="A83" s="1" t="n"/>
      <c r="B83" s="71" t="str">
        <f>IF(57&gt;$H$9,"",57)</f>
        <v/>
      </c>
      <c r="C83" s="72" t="str">
        <f>IF(B83="","",INDEX('Diario'!$D$5:$D$504,MATCH(57,'Diario'!$AW$5:$AW$504,0)))</f>
        <v/>
      </c>
      <c r="D83" s="47" t="str">
        <f>IF(B83="","",INDEX('Diario'!$AX$5:$AX$504,MATCH(57,'Diario'!$AW$5:$AW$504,0)))</f>
        <v/>
      </c>
      <c r="E83" s="47" t="str">
        <f>IF(B83="","",E82+D83)</f>
        <v/>
      </c>
      <c r="F83" s="47" t="str">
        <f>IF(B83="","",E82-$D$8*$D$11)</f>
        <v/>
      </c>
      <c r="G83" s="47" t="str">
        <f>IF(B83="","",IF($D$13="Trailing (cierre del día)",MIN($D$8,MAX($D$8,MAX(E$27:E82))-$D$8*$D$12),$D$8*(1-$D$12)))</f>
        <v/>
      </c>
      <c r="H83" s="73" t="str">
        <f>IF(B83="","",IF(E83&lt;=G83,"Pérdida máx. alcanzada",IF(D83&lt;=-$D$8*$D$11,"Pérdida diaria alcanzada","")))</f>
        <v/>
      </c>
      <c r="I83" s="1" t="n"/>
      <c r="J83" s="1" t="n"/>
      <c r="K83" s="1" t="n"/>
      <c r="L83" s="1" t="n"/>
      <c r="M83" s="1" t="n"/>
      <c r="N83" s="1" t="n"/>
      <c r="O83" s="1" t="n"/>
      <c r="P83" s="1" t="n"/>
    </row>
    <row r="84">
      <c r="A84" s="1" t="n"/>
      <c r="B84" s="71" t="str">
        <f>IF(58&gt;$H$9,"",58)</f>
        <v/>
      </c>
      <c r="C84" s="72" t="str">
        <f>IF(B84="","",INDEX('Diario'!$D$5:$D$504,MATCH(58,'Diario'!$AW$5:$AW$504,0)))</f>
        <v/>
      </c>
      <c r="D84" s="47" t="str">
        <f>IF(B84="","",INDEX('Diario'!$AX$5:$AX$504,MATCH(58,'Diario'!$AW$5:$AW$504,0)))</f>
        <v/>
      </c>
      <c r="E84" s="47" t="str">
        <f>IF(B84="","",E83+D84)</f>
        <v/>
      </c>
      <c r="F84" s="47" t="str">
        <f>IF(B84="","",E83-$D$8*$D$11)</f>
        <v/>
      </c>
      <c r="G84" s="47" t="str">
        <f>IF(B84="","",IF($D$13="Trailing (cierre del día)",MIN($D$8,MAX($D$8,MAX(E$27:E83))-$D$8*$D$12),$D$8*(1-$D$12)))</f>
        <v/>
      </c>
      <c r="H84" s="73" t="str">
        <f>IF(B84="","",IF(E84&lt;=G84,"Pérdida máx. alcanzada",IF(D84&lt;=-$D$8*$D$11,"Pérdida diaria alcanzada","")))</f>
        <v/>
      </c>
      <c r="I84" s="1" t="n"/>
      <c r="J84" s="1" t="n"/>
      <c r="K84" s="1" t="n"/>
      <c r="L84" s="1" t="n"/>
      <c r="M84" s="1" t="n"/>
      <c r="N84" s="1" t="n"/>
      <c r="O84" s="1" t="n"/>
      <c r="P84" s="1" t="n"/>
    </row>
    <row r="85">
      <c r="A85" s="1" t="n"/>
      <c r="B85" s="71" t="str">
        <f>IF(59&gt;$H$9,"",59)</f>
        <v/>
      </c>
      <c r="C85" s="72" t="str">
        <f>IF(B85="","",INDEX('Diario'!$D$5:$D$504,MATCH(59,'Diario'!$AW$5:$AW$504,0)))</f>
        <v/>
      </c>
      <c r="D85" s="47" t="str">
        <f>IF(B85="","",INDEX('Diario'!$AX$5:$AX$504,MATCH(59,'Diario'!$AW$5:$AW$504,0)))</f>
        <v/>
      </c>
      <c r="E85" s="47" t="str">
        <f>IF(B85="","",E84+D85)</f>
        <v/>
      </c>
      <c r="F85" s="47" t="str">
        <f>IF(B85="","",E84-$D$8*$D$11)</f>
        <v/>
      </c>
      <c r="G85" s="47" t="str">
        <f>IF(B85="","",IF($D$13="Trailing (cierre del día)",MIN($D$8,MAX($D$8,MAX(E$27:E84))-$D$8*$D$12),$D$8*(1-$D$12)))</f>
        <v/>
      </c>
      <c r="H85" s="73" t="str">
        <f>IF(B85="","",IF(E85&lt;=G85,"Pérdida máx. alcanzada",IF(D85&lt;=-$D$8*$D$11,"Pérdida diaria alcanzada","")))</f>
        <v/>
      </c>
      <c r="I85" s="1" t="n"/>
      <c r="J85" s="1" t="n"/>
      <c r="K85" s="1" t="n"/>
      <c r="L85" s="1" t="n"/>
      <c r="M85" s="1" t="n"/>
      <c r="N85" s="1" t="n"/>
      <c r="O85" s="1" t="n"/>
      <c r="P85" s="1" t="n"/>
    </row>
    <row r="86">
      <c r="A86" s="1" t="n"/>
      <c r="B86" s="71" t="str">
        <f>IF(60&gt;$H$9,"",60)</f>
        <v/>
      </c>
      <c r="C86" s="72" t="str">
        <f>IF(B86="","",INDEX('Diario'!$D$5:$D$504,MATCH(60,'Diario'!$AW$5:$AW$504,0)))</f>
        <v/>
      </c>
      <c r="D86" s="47" t="str">
        <f>IF(B86="","",INDEX('Diario'!$AX$5:$AX$504,MATCH(60,'Diario'!$AW$5:$AW$504,0)))</f>
        <v/>
      </c>
      <c r="E86" s="47" t="str">
        <f>IF(B86="","",E85+D86)</f>
        <v/>
      </c>
      <c r="F86" s="47" t="str">
        <f>IF(B86="","",E85-$D$8*$D$11)</f>
        <v/>
      </c>
      <c r="G86" s="47" t="str">
        <f>IF(B86="","",IF($D$13="Trailing (cierre del día)",MIN($D$8,MAX($D$8,MAX(E$27:E85))-$D$8*$D$12),$D$8*(1-$D$12)))</f>
        <v/>
      </c>
      <c r="H86" s="73" t="str">
        <f>IF(B86="","",IF(E86&lt;=G86,"Pérdida máx. alcanzada",IF(D86&lt;=-$D$8*$D$11,"Pérdida diaria alcanzada","")))</f>
        <v/>
      </c>
      <c r="I86" s="1" t="n"/>
      <c r="J86" s="1" t="n"/>
      <c r="K86" s="1" t="n"/>
      <c r="L86" s="1" t="n"/>
      <c r="M86" s="1" t="n"/>
      <c r="N86" s="1" t="n"/>
      <c r="O86" s="1" t="n"/>
      <c r="P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</row>
  </sheetData>
  <mergeCells count="2">
    <mergeCell ref="B16:D18"/>
    <mergeCell ref="F19:H22"/>
  </mergeCells>
  <conditionalFormatting sqref="H7">
    <cfRule type="expression" priority="1" dxfId="0">
      <formula>AND(ISNUMBER(H7),H7&gt;0)</formula>
    </cfRule>
    <cfRule type="expression" priority="2" dxfId="1">
      <formula>AND(ISNUMBER(H7),H7&lt;0)</formula>
    </cfRule>
  </conditionalFormatting>
  <conditionalFormatting sqref="H10">
    <cfRule type="expression" priority="3" dxfId="0">
      <formula>AND(ISNUMBER(H10),H10&gt;0)</formula>
    </cfRule>
    <cfRule type="expression" priority="4" dxfId="1">
      <formula>AND(ISNUMBER(H10),H10&lt;0)</formula>
    </cfRule>
  </conditionalFormatting>
  <conditionalFormatting sqref="H15">
    <cfRule type="expression" priority="5" dxfId="5">
      <formula>H15="Objetivo cumplido, reglas OK"</formula>
    </cfRule>
    <cfRule type="expression" priority="6" dxfId="6">
      <formula>OR(H15="Suspendido: pérdida máxima",H15="Suspendido: pérdida diaria")</formula>
    </cfRule>
  </conditionalFormatting>
  <conditionalFormatting sqref="H11">
    <cfRule type="expression" priority="7" dxfId="1">
      <formula>AND(ISNUMBER(H11),H11&lt;=0)</formula>
    </cfRule>
  </conditionalFormatting>
  <conditionalFormatting sqref="H13">
    <cfRule type="expression" priority="8" dxfId="1">
      <formula>AND(ISNUMBER(H13),H13&lt;=0)</formula>
    </cfRule>
  </conditionalFormatting>
  <conditionalFormatting sqref="D27:D86">
    <cfRule type="expression" priority="9" dxfId="0">
      <formula>AND(ISNUMBER(D27),D27&gt;0)</formula>
    </cfRule>
    <cfRule type="expression" priority="10" dxfId="1">
      <formula>AND(ISNUMBER(D27),D27&lt;0)</formula>
    </cfRule>
  </conditionalFormatting>
  <conditionalFormatting sqref="H27:H86">
    <cfRule type="expression" priority="11" dxfId="6">
      <formula>H27&lt;&gt;""</formula>
    </cfRule>
  </conditionalFormatting>
  <dataValidations count="2">
    <dataValidation sqref="D7" showDropDown="0" showInputMessage="0" showErrorMessage="0" allowBlank="1" type="list">
      <formula1>'Listas'!$J$7:$J$16</formula1>
    </dataValidation>
    <dataValidation sqref="D13" showDropDown="0" showInputMessage="0" showErrorMessage="0" allowBlank="1" type="list">
      <formula1>"Estático,Trailing (cierre del día)"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71717A"/>
    <outlinePr summaryBelow="1" summaryRight="1"/>
    <pageSetUpPr/>
  </sheetPr>
  <dimension ref="A1:R40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22" customWidth="1" min="2" max="2"/>
    <col width="2" customWidth="1" min="3" max="3"/>
    <col width="22" customWidth="1" min="4" max="4"/>
    <col width="2" customWidth="1" min="5" max="5"/>
    <col width="16" customWidth="1" min="6" max="6"/>
    <col width="2" customWidth="1" min="7" max="7"/>
    <col width="16" customWidth="1" min="8" max="8"/>
    <col width="2" customWidth="1" min="9" max="9"/>
    <col width="18" customWidth="1" min="10" max="10"/>
    <col width="16" customWidth="1" min="11" max="11"/>
    <col width="2" customWidth="1" min="12" max="12"/>
    <col width="12" customWidth="1" min="13" max="13"/>
    <col width="14" customWidth="1" min="14" max="14"/>
    <col width="10" customWidth="1" min="15" max="15"/>
    <col width="18" customWidth="1" min="16" max="16"/>
    <col width="10" customWidth="1" min="17" max="17"/>
    <col width="2" customWidth="1" min="18" max="1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15" t="inlineStr">
        <is>
          <t>Listas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>
      <c r="A3" s="1" t="n"/>
      <c r="B3" s="16" t="inlineStr">
        <is>
          <t>Opciones de los desplegables y ajustes de símbolos. Añade o renombra libremente; las filas vacías se ignoran.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</row>
    <row r="5">
      <c r="A5" s="1" t="n"/>
      <c r="B5" s="74" t="inlineStr">
        <is>
          <t>Setups</t>
        </is>
      </c>
      <c r="C5" s="1" t="n"/>
      <c r="D5" s="74" t="inlineStr">
        <is>
          <t>Errores</t>
        </is>
      </c>
      <c r="E5" s="1" t="n"/>
      <c r="F5" s="74" t="inlineStr">
        <is>
          <t>Sesiones</t>
        </is>
      </c>
      <c r="G5" s="1" t="n"/>
      <c r="H5" s="74" t="inlineStr">
        <is>
          <t>Emociones</t>
        </is>
      </c>
      <c r="I5" s="1" t="n"/>
      <c r="J5" s="74" t="inlineStr">
        <is>
          <t>Cuentas</t>
        </is>
      </c>
      <c r="K5" s="74" t="inlineStr">
        <is>
          <t>Saldo inicial</t>
        </is>
      </c>
      <c r="L5" s="1" t="n"/>
      <c r="M5" s="74" t="inlineStr">
        <is>
          <t>Símbolo</t>
        </is>
      </c>
      <c r="N5" s="74" t="inlineStr">
        <is>
          <t>Tamaño de contrato</t>
        </is>
      </c>
      <c r="O5" s="74" t="inlineStr">
        <is>
          <t>Divisa cotiz.</t>
        </is>
      </c>
      <c r="P5" s="74" t="inlineStr">
        <is>
          <t>1 divisa cotiz. en divisa de cuenta</t>
        </is>
      </c>
      <c r="Q5" s="74" t="inlineStr">
        <is>
          <t>Tamaño del pip</t>
        </is>
      </c>
      <c r="R5" s="1" t="n"/>
    </row>
    <row r="6">
      <c r="A6" s="1" t="n"/>
      <c r="B6" s="6" t="inlineStr">
        <is>
          <t>Ruptura</t>
        </is>
      </c>
      <c r="C6" s="1" t="n"/>
      <c r="D6" s="6" t="inlineStr">
        <is>
          <t>Ninguno</t>
        </is>
      </c>
      <c r="E6" s="1" t="n"/>
      <c r="F6" s="6" t="inlineStr">
        <is>
          <t>Asia</t>
        </is>
      </c>
      <c r="G6" s="1" t="n"/>
      <c r="H6" s="6" t="inlineStr">
        <is>
          <t>Tranquilo</t>
        </is>
      </c>
      <c r="I6" s="1" t="n"/>
      <c r="J6" s="7" t="inlineStr">
        <is>
          <t>Todas las cuentas</t>
        </is>
      </c>
      <c r="K6" s="1" t="n"/>
      <c r="L6" s="1" t="n"/>
      <c r="M6" s="6" t="inlineStr">
        <is>
          <t>EURUSD</t>
        </is>
      </c>
      <c r="N6" s="75" t="n">
        <v>100000</v>
      </c>
      <c r="O6" s="6" t="inlineStr">
        <is>
          <t>USD</t>
        </is>
      </c>
      <c r="P6" s="76" t="n">
        <v>1</v>
      </c>
      <c r="Q6" s="77" t="n">
        <v>0.0001</v>
      </c>
      <c r="R6" s="1" t="n"/>
    </row>
    <row r="7">
      <c r="A7" s="1" t="n"/>
      <c r="B7" s="6" t="inlineStr">
        <is>
          <t>Pullback</t>
        </is>
      </c>
      <c r="C7" s="1" t="n"/>
      <c r="D7" s="6" t="inlineStr">
        <is>
          <t>Moví el stop</t>
        </is>
      </c>
      <c r="E7" s="1" t="n"/>
      <c r="F7" s="6" t="inlineStr">
        <is>
          <t>Londres</t>
        </is>
      </c>
      <c r="G7" s="1" t="n"/>
      <c r="H7" s="6" t="inlineStr">
        <is>
          <t>Seguro</t>
        </is>
      </c>
      <c r="I7" s="1" t="n"/>
      <c r="J7" s="6" t="inlineStr">
        <is>
          <t>Personal</t>
        </is>
      </c>
      <c r="K7" s="78" t="n">
        <v>10000</v>
      </c>
      <c r="L7" s="1" t="n"/>
      <c r="M7" s="6" t="inlineStr">
        <is>
          <t>GBPUSD</t>
        </is>
      </c>
      <c r="N7" s="75" t="n">
        <v>100000</v>
      </c>
      <c r="O7" s="6" t="inlineStr">
        <is>
          <t>USD</t>
        </is>
      </c>
      <c r="P7" s="76" t="n">
        <v>1</v>
      </c>
      <c r="Q7" s="77" t="n">
        <v>0.0001</v>
      </c>
      <c r="R7" s="1" t="n"/>
    </row>
    <row r="8">
      <c r="A8" s="1" t="n"/>
      <c r="B8" s="6" t="inlineStr">
        <is>
          <t>Rebote en rango</t>
        </is>
      </c>
      <c r="C8" s="1" t="n"/>
      <c r="D8" s="6" t="inlineStr">
        <is>
          <t>Salida temprana</t>
        </is>
      </c>
      <c r="E8" s="1" t="n"/>
      <c r="F8" s="6" t="inlineStr">
        <is>
          <t>Nueva York</t>
        </is>
      </c>
      <c r="G8" s="1" t="n"/>
      <c r="H8" s="6" t="inlineStr">
        <is>
          <t>Dudoso</t>
        </is>
      </c>
      <c r="I8" s="1" t="n"/>
      <c r="J8" s="6" t="inlineStr">
        <is>
          <t>Challenge 10K</t>
        </is>
      </c>
      <c r="K8" s="78" t="n">
        <v>10000</v>
      </c>
      <c r="L8" s="1" t="n"/>
      <c r="M8" s="6" t="inlineStr">
        <is>
          <t>USDJPY</t>
        </is>
      </c>
      <c r="N8" s="75" t="n">
        <v>100000</v>
      </c>
      <c r="O8" s="6" t="inlineStr">
        <is>
          <t>JPY</t>
        </is>
      </c>
      <c r="P8" s="76" t="n">
        <v>0.006327</v>
      </c>
      <c r="Q8" s="77" t="n">
        <v>0.01</v>
      </c>
      <c r="R8" s="1" t="n"/>
    </row>
    <row r="9">
      <c r="A9" s="1" t="n"/>
      <c r="B9" s="6" t="inlineStr">
        <is>
          <t>Continuación</t>
        </is>
      </c>
      <c r="C9" s="1" t="n"/>
      <c r="D9" s="6" t="inlineStr">
        <is>
          <t>Lotaje excesivo</t>
        </is>
      </c>
      <c r="E9" s="1" t="n"/>
      <c r="F9" s="6" t="inlineStr">
        <is>
          <t>Solape Londres–NY</t>
        </is>
      </c>
      <c r="G9" s="1" t="n"/>
      <c r="H9" s="6" t="inlineStr">
        <is>
          <t>FOMO</t>
        </is>
      </c>
      <c r="I9" s="1" t="n"/>
      <c r="J9" s="6" t="n"/>
      <c r="K9" s="78" t="n"/>
      <c r="L9" s="1" t="n"/>
      <c r="M9" s="6" t="inlineStr">
        <is>
          <t>AUDUSD</t>
        </is>
      </c>
      <c r="N9" s="75" t="n">
        <v>100000</v>
      </c>
      <c r="O9" s="6" t="inlineStr">
        <is>
          <t>USD</t>
        </is>
      </c>
      <c r="P9" s="76" t="n">
        <v>1</v>
      </c>
      <c r="Q9" s="77" t="n">
        <v>0.0001</v>
      </c>
      <c r="R9" s="1" t="n"/>
    </row>
    <row r="10">
      <c r="A10" s="1" t="n"/>
      <c r="B10" s="6" t="inlineStr">
        <is>
          <t>Noticias</t>
        </is>
      </c>
      <c r="C10" s="1" t="n"/>
      <c r="D10" s="6" t="inlineStr">
        <is>
          <t>Entrada por FOMO</t>
        </is>
      </c>
      <c r="E10" s="1" t="n"/>
      <c r="F10" s="6" t="n"/>
      <c r="G10" s="1" t="n"/>
      <c r="H10" s="6" t="inlineStr">
        <is>
          <t>Miedo</t>
        </is>
      </c>
      <c r="I10" s="1" t="n"/>
      <c r="J10" s="6" t="n"/>
      <c r="K10" s="78" t="n"/>
      <c r="L10" s="1" t="n"/>
      <c r="M10" s="6" t="inlineStr">
        <is>
          <t>USDCAD</t>
        </is>
      </c>
      <c r="N10" s="75" t="n">
        <v>100000</v>
      </c>
      <c r="O10" s="6" t="inlineStr">
        <is>
          <t>CAD</t>
        </is>
      </c>
      <c r="P10" s="76" t="n">
        <v>0.7145</v>
      </c>
      <c r="Q10" s="77" t="n">
        <v>0.0001</v>
      </c>
      <c r="R10" s="1" t="n"/>
    </row>
    <row r="11">
      <c r="A11" s="1" t="n"/>
      <c r="B11" s="6" t="inlineStr">
        <is>
          <t>Giro</t>
        </is>
      </c>
      <c r="C11" s="1" t="n"/>
      <c r="D11" s="6" t="inlineStr">
        <is>
          <t>Sin plan</t>
        </is>
      </c>
      <c r="E11" s="1" t="n"/>
      <c r="F11" s="6" t="n"/>
      <c r="G11" s="1" t="n"/>
      <c r="H11" s="6" t="inlineStr">
        <is>
          <t>Frustrado</t>
        </is>
      </c>
      <c r="I11" s="1" t="n"/>
      <c r="J11" s="6" t="n"/>
      <c r="K11" s="78" t="n"/>
      <c r="L11" s="1" t="n"/>
      <c r="M11" s="6" t="inlineStr">
        <is>
          <t>USDCHF</t>
        </is>
      </c>
      <c r="N11" s="75" t="n">
        <v>100000</v>
      </c>
      <c r="O11" s="6" t="inlineStr">
        <is>
          <t>CHF</t>
        </is>
      </c>
      <c r="P11" s="76" t="n">
        <v>1.2069</v>
      </c>
      <c r="Q11" s="77" t="n">
        <v>0.0001</v>
      </c>
      <c r="R11" s="1" t="n"/>
    </row>
    <row r="12">
      <c r="A12" s="1" t="n"/>
      <c r="B12" s="6" t="n"/>
      <c r="C12" s="1" t="n"/>
      <c r="D12" s="6" t="inlineStr">
        <is>
          <t>Operación de venganza</t>
        </is>
      </c>
      <c r="E12" s="1" t="n"/>
      <c r="F12" s="6" t="n"/>
      <c r="G12" s="1" t="n"/>
      <c r="H12" s="6" t="n"/>
      <c r="I12" s="1" t="n"/>
      <c r="J12" s="6" t="n"/>
      <c r="K12" s="78" t="n"/>
      <c r="L12" s="1" t="n"/>
      <c r="M12" s="6" t="inlineStr">
        <is>
          <t>EURJPY</t>
        </is>
      </c>
      <c r="N12" s="75" t="n">
        <v>100000</v>
      </c>
      <c r="O12" s="6" t="inlineStr">
        <is>
          <t>JPY</t>
        </is>
      </c>
      <c r="P12" s="76" t="n">
        <v>0.006327</v>
      </c>
      <c r="Q12" s="77" t="n">
        <v>0.01</v>
      </c>
      <c r="R12" s="1" t="n"/>
    </row>
    <row r="13">
      <c r="A13" s="1" t="n"/>
      <c r="B13" s="6" t="n"/>
      <c r="C13" s="1" t="n"/>
      <c r="D13" s="6" t="inlineStr">
        <is>
          <t>Entrada tardía</t>
        </is>
      </c>
      <c r="E13" s="1" t="n"/>
      <c r="F13" s="6" t="n"/>
      <c r="G13" s="1" t="n"/>
      <c r="H13" s="6" t="n"/>
      <c r="I13" s="1" t="n"/>
      <c r="J13" s="6" t="n"/>
      <c r="K13" s="78" t="n"/>
      <c r="L13" s="1" t="n"/>
      <c r="M13" s="6" t="inlineStr">
        <is>
          <t>GBPJPY</t>
        </is>
      </c>
      <c r="N13" s="75" t="n">
        <v>100000</v>
      </c>
      <c r="O13" s="6" t="inlineStr">
        <is>
          <t>JPY</t>
        </is>
      </c>
      <c r="P13" s="76" t="n">
        <v>0.006327</v>
      </c>
      <c r="Q13" s="77" t="n">
        <v>0.01</v>
      </c>
      <c r="R13" s="1" t="n"/>
    </row>
    <row r="14">
      <c r="A14" s="1" t="n"/>
      <c r="B14" s="6" t="n"/>
      <c r="C14" s="1" t="n"/>
      <c r="D14" s="6" t="n"/>
      <c r="E14" s="1" t="n"/>
      <c r="F14" s="1" t="n"/>
      <c r="G14" s="1" t="n"/>
      <c r="H14" s="6" t="n"/>
      <c r="I14" s="1" t="n"/>
      <c r="J14" s="6" t="n"/>
      <c r="K14" s="78" t="n"/>
      <c r="L14" s="1" t="n"/>
      <c r="M14" s="6" t="inlineStr">
        <is>
          <t>EURGBP</t>
        </is>
      </c>
      <c r="N14" s="75" t="n">
        <v>100000</v>
      </c>
      <c r="O14" s="6" t="inlineStr">
        <is>
          <t>GBP</t>
        </is>
      </c>
      <c r="P14" s="76" t="n">
        <v>1.3317</v>
      </c>
      <c r="Q14" s="77" t="n">
        <v>0.0001</v>
      </c>
      <c r="R14" s="1" t="n"/>
    </row>
    <row r="15">
      <c r="A15" s="1" t="n"/>
      <c r="B15" s="6" t="n"/>
      <c r="C15" s="1" t="n"/>
      <c r="D15" s="6" t="n"/>
      <c r="E15" s="1" t="n"/>
      <c r="F15" s="1" t="n"/>
      <c r="G15" s="1" t="n"/>
      <c r="H15" s="6" t="n"/>
      <c r="I15" s="1" t="n"/>
      <c r="J15" s="6" t="n"/>
      <c r="K15" s="78" t="n"/>
      <c r="L15" s="1" t="n"/>
      <c r="M15" s="6" t="inlineStr">
        <is>
          <t>XAUUSD</t>
        </is>
      </c>
      <c r="N15" s="75" t="n">
        <v>100</v>
      </c>
      <c r="O15" s="6" t="inlineStr">
        <is>
          <t>USD</t>
        </is>
      </c>
      <c r="P15" s="76" t="n">
        <v>1</v>
      </c>
      <c r="Q15" s="77" t="n">
        <v>0.1</v>
      </c>
      <c r="R15" s="1" t="n"/>
    </row>
    <row r="16">
      <c r="A16" s="1" t="n"/>
      <c r="B16" s="6" t="n"/>
      <c r="C16" s="1" t="n"/>
      <c r="D16" s="6" t="n"/>
      <c r="E16" s="1" t="n"/>
      <c r="F16" s="1" t="n"/>
      <c r="G16" s="1" t="n"/>
      <c r="H16" s="6" t="n"/>
      <c r="I16" s="1" t="n"/>
      <c r="J16" s="6" t="n"/>
      <c r="K16" s="78" t="n"/>
      <c r="L16" s="1" t="n"/>
      <c r="M16" s="6" t="inlineStr">
        <is>
          <t>XAGUSD</t>
        </is>
      </c>
      <c r="N16" s="75" t="n">
        <v>5000</v>
      </c>
      <c r="O16" s="6" t="inlineStr">
        <is>
          <t>USD</t>
        </is>
      </c>
      <c r="P16" s="76" t="n">
        <v>1</v>
      </c>
      <c r="Q16" s="77" t="n">
        <v>0.01</v>
      </c>
      <c r="R16" s="1" t="n"/>
    </row>
    <row r="17">
      <c r="A17" s="1" t="n"/>
      <c r="B17" s="6" t="n"/>
      <c r="C17" s="1" t="n"/>
      <c r="D17" s="6" t="n"/>
      <c r="E17" s="1" t="n"/>
      <c r="F17" s="1" t="n"/>
      <c r="G17" s="1" t="n"/>
      <c r="H17" s="6" t="n"/>
      <c r="I17" s="1" t="n"/>
      <c r="J17" s="1" t="n"/>
      <c r="K17" s="1" t="n"/>
      <c r="L17" s="1" t="n"/>
      <c r="M17" s="6" t="inlineStr">
        <is>
          <t>NAS100</t>
        </is>
      </c>
      <c r="N17" s="75" t="n">
        <v>1</v>
      </c>
      <c r="O17" s="6" t="inlineStr">
        <is>
          <t>USD</t>
        </is>
      </c>
      <c r="P17" s="76" t="n">
        <v>1</v>
      </c>
      <c r="Q17" s="77" t="n">
        <v>1</v>
      </c>
      <c r="R17" s="1" t="n"/>
    </row>
    <row r="18">
      <c r="A18" s="1" t="n"/>
      <c r="B18" s="6" t="n"/>
      <c r="C18" s="1" t="n"/>
      <c r="D18" s="6" t="n"/>
      <c r="E18" s="1" t="n"/>
      <c r="F18" s="1" t="n"/>
      <c r="G18" s="1" t="n"/>
      <c r="H18" s="1" t="n"/>
      <c r="I18" s="1" t="n"/>
      <c r="J18" s="1" t="n"/>
      <c r="K18" s="1" t="n"/>
      <c r="L18" s="1" t="n"/>
      <c r="M18" s="6" t="inlineStr">
        <is>
          <t>US30</t>
        </is>
      </c>
      <c r="N18" s="75" t="n">
        <v>1</v>
      </c>
      <c r="O18" s="6" t="inlineStr">
        <is>
          <t>USD</t>
        </is>
      </c>
      <c r="P18" s="76" t="n">
        <v>1</v>
      </c>
      <c r="Q18" s="77" t="n">
        <v>1</v>
      </c>
      <c r="R18" s="1" t="n"/>
    </row>
    <row r="19">
      <c r="A19" s="1" t="n"/>
      <c r="B19" s="6" t="n"/>
      <c r="C19" s="1" t="n"/>
      <c r="D19" s="6" t="n"/>
      <c r="E19" s="1" t="n"/>
      <c r="F19" s="1" t="n"/>
      <c r="G19" s="1" t="n"/>
      <c r="H19" s="1" t="n"/>
      <c r="I19" s="1" t="n"/>
      <c r="J19" s="1" t="n"/>
      <c r="K19" s="1" t="n"/>
      <c r="L19" s="1" t="n"/>
      <c r="M19" s="6" t="inlineStr">
        <is>
          <t>SPX500</t>
        </is>
      </c>
      <c r="N19" s="75" t="n">
        <v>1</v>
      </c>
      <c r="O19" s="6" t="inlineStr">
        <is>
          <t>USD</t>
        </is>
      </c>
      <c r="P19" s="76" t="n">
        <v>1</v>
      </c>
      <c r="Q19" s="77" t="n">
        <v>1</v>
      </c>
      <c r="R19" s="1" t="n"/>
    </row>
    <row r="20">
      <c r="A20" s="1" t="n"/>
      <c r="B20" s="6" t="n"/>
      <c r="C20" s="1" t="n"/>
      <c r="D20" s="6" t="n"/>
      <c r="E20" s="1" t="n"/>
      <c r="F20" s="1" t="n"/>
      <c r="G20" s="1" t="n"/>
      <c r="H20" s="1" t="n"/>
      <c r="I20" s="1" t="n"/>
      <c r="J20" s="1" t="n"/>
      <c r="K20" s="1" t="n"/>
      <c r="L20" s="1" t="n"/>
      <c r="M20" s="6" t="inlineStr">
        <is>
          <t>GER40</t>
        </is>
      </c>
      <c r="N20" s="75" t="n">
        <v>1</v>
      </c>
      <c r="O20" s="6" t="inlineStr">
        <is>
          <t>EUR</t>
        </is>
      </c>
      <c r="P20" s="76" t="n">
        <v>1.113</v>
      </c>
      <c r="Q20" s="77" t="n">
        <v>1</v>
      </c>
      <c r="R20" s="1" t="n"/>
    </row>
    <row r="21">
      <c r="A21" s="1" t="n"/>
      <c r="B21" s="6" t="n"/>
      <c r="C21" s="1" t="n"/>
      <c r="D21" s="6" t="n"/>
      <c r="E21" s="1" t="n"/>
      <c r="F21" s="1" t="n"/>
      <c r="G21" s="1" t="n"/>
      <c r="H21" s="1" t="n"/>
      <c r="I21" s="1" t="n"/>
      <c r="J21" s="1" t="n"/>
      <c r="K21" s="1" t="n"/>
      <c r="L21" s="1" t="n"/>
      <c r="M21" s="6" t="inlineStr">
        <is>
          <t>USOIL</t>
        </is>
      </c>
      <c r="N21" s="75" t="n">
        <v>1000</v>
      </c>
      <c r="O21" s="6" t="inlineStr">
        <is>
          <t>USD</t>
        </is>
      </c>
      <c r="P21" s="76" t="n">
        <v>1</v>
      </c>
      <c r="Q21" s="77" t="n">
        <v>0.01</v>
      </c>
      <c r="R21" s="1" t="n"/>
    </row>
    <row r="22">
      <c r="A22" s="1" t="n"/>
      <c r="B22" s="6" t="n"/>
      <c r="C22" s="1" t="n"/>
      <c r="D22" s="6" t="n"/>
      <c r="E22" s="1" t="n"/>
      <c r="F22" s="1" t="n"/>
      <c r="G22" s="1" t="n"/>
      <c r="H22" s="1" t="n"/>
      <c r="I22" s="1" t="n"/>
      <c r="J22" s="1" t="n"/>
      <c r="K22" s="1" t="n"/>
      <c r="L22" s="1" t="n"/>
      <c r="M22" s="6" t="inlineStr">
        <is>
          <t>BTCUSD</t>
        </is>
      </c>
      <c r="N22" s="75" t="n">
        <v>1</v>
      </c>
      <c r="O22" s="6" t="inlineStr">
        <is>
          <t>USD</t>
        </is>
      </c>
      <c r="P22" s="76" t="n">
        <v>1</v>
      </c>
      <c r="Q22" s="77" t="n">
        <v>1</v>
      </c>
      <c r="R22" s="1" t="n"/>
    </row>
    <row r="23">
      <c r="A23" s="1" t="n"/>
      <c r="B23" s="6" t="n"/>
      <c r="C23" s="1" t="n"/>
      <c r="D23" s="6" t="n"/>
      <c r="E23" s="1" t="n"/>
      <c r="F23" s="1" t="n"/>
      <c r="G23" s="1" t="n"/>
      <c r="H23" s="1" t="n"/>
      <c r="I23" s="1" t="n"/>
      <c r="J23" s="1" t="n"/>
      <c r="K23" s="1" t="n"/>
      <c r="L23" s="1" t="n"/>
      <c r="M23" s="6" t="n"/>
      <c r="N23" s="75" t="n"/>
      <c r="O23" s="6" t="n"/>
      <c r="P23" s="76" t="n"/>
      <c r="Q23" s="77" t="n"/>
      <c r="R23" s="1" t="n"/>
    </row>
    <row r="24">
      <c r="A24" s="1" t="n"/>
      <c r="B24" s="6" t="n"/>
      <c r="C24" s="1" t="n"/>
      <c r="D24" s="6" t="n"/>
      <c r="E24" s="1" t="n"/>
      <c r="F24" s="1" t="n"/>
      <c r="G24" s="1" t="n"/>
      <c r="H24" s="1" t="n"/>
      <c r="I24" s="1" t="n"/>
      <c r="J24" s="1" t="n"/>
      <c r="K24" s="1" t="n"/>
      <c r="L24" s="1" t="n"/>
      <c r="M24" s="6" t="n"/>
      <c r="N24" s="75" t="n"/>
      <c r="O24" s="6" t="n"/>
      <c r="P24" s="76" t="n"/>
      <c r="Q24" s="77" t="n"/>
      <c r="R24" s="1" t="n"/>
    </row>
    <row r="25">
      <c r="A25" s="1" t="n"/>
      <c r="B25" s="6" t="n"/>
      <c r="C25" s="1" t="n"/>
      <c r="D25" s="6" t="n"/>
      <c r="E25" s="1" t="n"/>
      <c r="F25" s="1" t="n"/>
      <c r="G25" s="1" t="n"/>
      <c r="H25" s="1" t="n"/>
      <c r="I25" s="1" t="n"/>
      <c r="J25" s="1" t="n"/>
      <c r="K25" s="1" t="n"/>
      <c r="L25" s="1" t="n"/>
      <c r="M25" s="6" t="n"/>
      <c r="N25" s="75" t="n"/>
      <c r="O25" s="6" t="n"/>
      <c r="P25" s="76" t="n"/>
      <c r="Q25" s="77" t="n"/>
      <c r="R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6" t="n"/>
      <c r="N26" s="75" t="n"/>
      <c r="O26" s="6" t="n"/>
      <c r="P26" s="76" t="n"/>
      <c r="Q26" s="77" t="n"/>
      <c r="R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6" t="n"/>
      <c r="N27" s="75" t="n"/>
      <c r="O27" s="6" t="n"/>
      <c r="P27" s="76" t="n"/>
      <c r="Q27" s="77" t="n"/>
      <c r="R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6" t="n"/>
      <c r="N28" s="75" t="n"/>
      <c r="O28" s="6" t="n"/>
      <c r="P28" s="76" t="n"/>
      <c r="Q28" s="77" t="n"/>
      <c r="R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6" t="n"/>
      <c r="N29" s="75" t="n"/>
      <c r="O29" s="6" t="n"/>
      <c r="P29" s="76" t="n"/>
      <c r="Q29" s="77" t="n"/>
      <c r="R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6" t="n"/>
      <c r="N30" s="75" t="n"/>
      <c r="O30" s="6" t="n"/>
      <c r="P30" s="76" t="n"/>
      <c r="Q30" s="77" t="n"/>
      <c r="R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6" t="n"/>
      <c r="N31" s="75" t="n"/>
      <c r="O31" s="6" t="n"/>
      <c r="P31" s="76" t="n"/>
      <c r="Q31" s="77" t="n"/>
      <c r="R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6" t="n"/>
      <c r="N32" s="75" t="n"/>
      <c r="O32" s="6" t="n"/>
      <c r="P32" s="76" t="n"/>
      <c r="Q32" s="77" t="n"/>
      <c r="R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6" t="n"/>
      <c r="N33" s="75" t="n"/>
      <c r="O33" s="6" t="n"/>
      <c r="P33" s="76" t="n"/>
      <c r="Q33" s="77" t="n"/>
      <c r="R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6" t="n"/>
      <c r="N34" s="75" t="n"/>
      <c r="O34" s="6" t="n"/>
      <c r="P34" s="76" t="n"/>
      <c r="Q34" s="77" t="n"/>
      <c r="R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6" t="n"/>
      <c r="N35" s="75" t="n"/>
      <c r="O35" s="6" t="n"/>
      <c r="P35" s="76" t="n"/>
      <c r="Q35" s="77" t="n"/>
      <c r="R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79" t="inlineStr">
        <is>
          <t>Tipos para una cuenta en USD, tipos de referencia del BCE del 2026-10-29. Actualízalos de vez en cuando, o pon 1 si tu cuenta está en la divisa de cotización.</t>
        </is>
      </c>
      <c r="N37" s="1" t="n"/>
      <c r="O37" s="1" t="n"/>
      <c r="P37" s="1" t="n"/>
      <c r="Q37" s="1" t="n"/>
      <c r="R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79" t="inlineStr">
        <is>
          <t>CFD de índices: el tamaño de contrato varía según el bróker (a menudo 1, a veces 10 o 0,1). Revisa la especificación del símbolo en MT4/MT5.</t>
        </is>
      </c>
      <c r="N38" s="1" t="n"/>
      <c r="O38" s="1" t="n"/>
      <c r="P38" s="1" t="n"/>
      <c r="Q38" s="1" t="n"/>
      <c r="R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Fips (fipsapp.com)</dc:creator>
  <dc:title>Diario de trading Fips</dc:title>
  <dcterms:created xsi:type="dcterms:W3CDTF">2026-10-29T20:12:33Z</dcterms:created>
  <dcterms:modified xsi:type="dcterms:W3CDTF">2026-10-29T20:12:34Z</dcterms:modified>
</cp:coreProperties>
</file>